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6563_20_BHBE 2019 Adjustments\Originals\"/>
    </mc:Choice>
  </mc:AlternateContent>
  <xr:revisionPtr revIDLastSave="0" documentId="8_{7A4C55B1-2137-4A0A-A0BA-14C6AB7AF0D2}" xr6:coauthVersionLast="44" xr6:coauthVersionMax="44" xr10:uidLastSave="{00000000-0000-0000-0000-000000000000}"/>
  <bookViews>
    <workbookView xWindow="-120" yWindow="-120" windowWidth="29040" windowHeight="15990" tabRatio="893" activeTab="1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35" l="1"/>
  <c r="E85" i="35"/>
  <c r="E77" i="35"/>
  <c r="Q30" i="37"/>
  <c r="P30" i="37"/>
  <c r="P32" i="37"/>
  <c r="O30" i="37"/>
  <c r="N30" i="37"/>
  <c r="N40" i="37"/>
  <c r="M30" i="37"/>
  <c r="L30" i="37"/>
  <c r="K30" i="37"/>
  <c r="K40" i="37"/>
  <c r="J30" i="37"/>
  <c r="J32" i="37"/>
  <c r="I30" i="37"/>
  <c r="H30" i="37"/>
  <c r="H40" i="37"/>
  <c r="G30" i="37"/>
  <c r="F30" i="37"/>
  <c r="E30" i="37"/>
  <c r="Q28" i="37"/>
  <c r="P28" i="37"/>
  <c r="P38" i="37"/>
  <c r="O28" i="37"/>
  <c r="N28" i="37"/>
  <c r="N38" i="37"/>
  <c r="M28" i="37"/>
  <c r="M32" i="37"/>
  <c r="L28" i="37"/>
  <c r="K28" i="37"/>
  <c r="J28" i="37"/>
  <c r="I28" i="37"/>
  <c r="I38" i="37"/>
  <c r="H28" i="37"/>
  <c r="H38" i="37"/>
  <c r="G28" i="37"/>
  <c r="F28" i="37"/>
  <c r="E28" i="37"/>
  <c r="Q26" i="37"/>
  <c r="P26" i="37"/>
  <c r="O26" i="37"/>
  <c r="N26" i="37"/>
  <c r="M26" i="37"/>
  <c r="L26" i="37"/>
  <c r="K26" i="37"/>
  <c r="J26" i="37"/>
  <c r="J36" i="37"/>
  <c r="I26" i="37"/>
  <c r="I36" i="37"/>
  <c r="H26" i="37"/>
  <c r="H36" i="37"/>
  <c r="G26" i="37"/>
  <c r="G32" i="37"/>
  <c r="F26" i="37"/>
  <c r="F36" i="37"/>
  <c r="E26" i="37"/>
  <c r="E51" i="37"/>
  <c r="F55" i="37"/>
  <c r="L57" i="37"/>
  <c r="Q79" i="37"/>
  <c r="P79" i="37"/>
  <c r="O79" i="37"/>
  <c r="N79" i="37"/>
  <c r="M79" i="37"/>
  <c r="L79" i="37"/>
  <c r="K79" i="37"/>
  <c r="J79" i="37"/>
  <c r="I79" i="37"/>
  <c r="H79" i="37"/>
  <c r="G79" i="37"/>
  <c r="F79" i="37"/>
  <c r="E79" i="37"/>
  <c r="R78" i="37"/>
  <c r="R77" i="37"/>
  <c r="Q75" i="37"/>
  <c r="P75" i="37"/>
  <c r="O75" i="37"/>
  <c r="N75" i="37"/>
  <c r="M75" i="37"/>
  <c r="L75" i="37"/>
  <c r="K75" i="37"/>
  <c r="J75" i="37"/>
  <c r="I75" i="37"/>
  <c r="H75" i="37"/>
  <c r="G75" i="37"/>
  <c r="F75" i="37"/>
  <c r="E75" i="37"/>
  <c r="R74" i="37"/>
  <c r="R73" i="37"/>
  <c r="Q71" i="37"/>
  <c r="P71" i="37"/>
  <c r="O71" i="37"/>
  <c r="N71" i="37"/>
  <c r="M71" i="37"/>
  <c r="L71" i="37"/>
  <c r="K71" i="37"/>
  <c r="J71" i="37"/>
  <c r="I71" i="37"/>
  <c r="H71" i="37"/>
  <c r="G71" i="37"/>
  <c r="F71" i="37"/>
  <c r="E71" i="37"/>
  <c r="R70" i="37"/>
  <c r="R69" i="37"/>
  <c r="M52" i="37"/>
  <c r="F51" i="37"/>
  <c r="L52" i="37"/>
  <c r="E101" i="35"/>
  <c r="J29" i="35"/>
  <c r="M55" i="37"/>
  <c r="E18" i="37"/>
  <c r="K38" i="37"/>
  <c r="F18" i="37"/>
  <c r="Q18" i="37"/>
  <c r="P18" i="37"/>
  <c r="O18" i="37"/>
  <c r="N18" i="37"/>
  <c r="M18" i="37"/>
  <c r="M22" i="37"/>
  <c r="L18" i="37"/>
  <c r="K18" i="37"/>
  <c r="J18" i="37"/>
  <c r="I18" i="37"/>
  <c r="H18" i="37"/>
  <c r="G18" i="37"/>
  <c r="G38" i="37"/>
  <c r="M27" i="37"/>
  <c r="L27" i="37"/>
  <c r="K27" i="37"/>
  <c r="J27" i="37"/>
  <c r="I27" i="37"/>
  <c r="H27" i="37"/>
  <c r="G27" i="37"/>
  <c r="G37" i="37"/>
  <c r="F27" i="37"/>
  <c r="M17" i="37"/>
  <c r="L17" i="37"/>
  <c r="L37" i="37"/>
  <c r="K17" i="37"/>
  <c r="J17" i="37"/>
  <c r="I17" i="37"/>
  <c r="I37" i="37"/>
  <c r="H17" i="37"/>
  <c r="G17" i="37"/>
  <c r="F17" i="37"/>
  <c r="M16" i="37"/>
  <c r="L16" i="37"/>
  <c r="K16" i="37"/>
  <c r="J16" i="37"/>
  <c r="I16" i="37"/>
  <c r="H16" i="37"/>
  <c r="G16" i="37"/>
  <c r="F16" i="37"/>
  <c r="W31" i="37"/>
  <c r="X31" i="37"/>
  <c r="Y31" i="37"/>
  <c r="Z31" i="37"/>
  <c r="AA31" i="37"/>
  <c r="AB31" i="37"/>
  <c r="AC31" i="37"/>
  <c r="AD31" i="37"/>
  <c r="AE31" i="37"/>
  <c r="AF31" i="37"/>
  <c r="AG31" i="37"/>
  <c r="AH31" i="37"/>
  <c r="AI31" i="37"/>
  <c r="AJ31" i="37"/>
  <c r="AK31" i="37"/>
  <c r="AL31" i="37"/>
  <c r="AM31" i="37"/>
  <c r="AN31" i="37"/>
  <c r="AO31" i="37"/>
  <c r="AP31" i="37"/>
  <c r="AQ31" i="37"/>
  <c r="AR31" i="37"/>
  <c r="AS31" i="37"/>
  <c r="W27" i="37"/>
  <c r="X27" i="37"/>
  <c r="Y27" i="37"/>
  <c r="Z27" i="37"/>
  <c r="AA27" i="37"/>
  <c r="AB27" i="37"/>
  <c r="AC27" i="37"/>
  <c r="AD27" i="37"/>
  <c r="N17" i="37"/>
  <c r="AE27" i="37"/>
  <c r="O17" i="37"/>
  <c r="AF27" i="37"/>
  <c r="P17" i="37"/>
  <c r="AG27" i="37"/>
  <c r="Q17" i="37"/>
  <c r="Q37" i="37"/>
  <c r="AH27" i="37"/>
  <c r="AI27" i="37"/>
  <c r="AJ27" i="37"/>
  <c r="AK27" i="37"/>
  <c r="AL27" i="37"/>
  <c r="AM27" i="37"/>
  <c r="AN27" i="37"/>
  <c r="AO27" i="37"/>
  <c r="AP27" i="37"/>
  <c r="AQ27" i="37"/>
  <c r="AR27" i="37"/>
  <c r="P27" i="37"/>
  <c r="AS27" i="37"/>
  <c r="V27" i="37"/>
  <c r="V31" i="37"/>
  <c r="E38" i="37"/>
  <c r="E55" i="37"/>
  <c r="R19" i="37"/>
  <c r="R39" i="37"/>
  <c r="G64" i="37"/>
  <c r="E59" i="35"/>
  <c r="N39" i="37"/>
  <c r="J39" i="37"/>
  <c r="R29" i="37"/>
  <c r="E39" i="37"/>
  <c r="O39" i="37"/>
  <c r="Q40" i="37"/>
  <c r="P40" i="37"/>
  <c r="O40" i="37"/>
  <c r="M40" i="37"/>
  <c r="I40" i="37"/>
  <c r="G40" i="37"/>
  <c r="F40" i="37"/>
  <c r="O38" i="37"/>
  <c r="M37" i="37"/>
  <c r="K37" i="37"/>
  <c r="J37" i="37"/>
  <c r="P35" i="37"/>
  <c r="K35" i="37"/>
  <c r="E35" i="37"/>
  <c r="L40" i="37"/>
  <c r="J139" i="35"/>
  <c r="H196" i="35"/>
  <c r="O4" i="31"/>
  <c r="O3" i="31"/>
  <c r="J196" i="35"/>
  <c r="J2" i="24"/>
  <c r="I206" i="24"/>
  <c r="J206" i="24"/>
  <c r="I128" i="24"/>
  <c r="J128" i="24"/>
  <c r="F14" i="41"/>
  <c r="F13" i="41"/>
  <c r="F12" i="41"/>
  <c r="F15" i="41"/>
  <c r="I2" i="37"/>
  <c r="R2" i="37"/>
  <c r="H1" i="3"/>
  <c r="J63" i="35"/>
  <c r="K77" i="31"/>
  <c r="M53" i="31"/>
  <c r="N53" i="31"/>
  <c r="D20" i="3"/>
  <c r="D27" i="3"/>
  <c r="D30" i="3"/>
  <c r="H31" i="35"/>
  <c r="R20" i="37"/>
  <c r="E20" i="35"/>
  <c r="H11" i="3"/>
  <c r="G22" i="41"/>
  <c r="E45" i="41"/>
  <c r="E105" i="35"/>
  <c r="G25" i="35"/>
  <c r="G45" i="35"/>
  <c r="G99" i="35"/>
  <c r="G80" i="35"/>
  <c r="G81" i="35"/>
  <c r="G82" i="35"/>
  <c r="A12" i="3"/>
  <c r="A13" i="3"/>
  <c r="A14" i="3"/>
  <c r="A15" i="3"/>
  <c r="A16" i="3"/>
  <c r="A17" i="3"/>
  <c r="A18" i="3"/>
  <c r="A19" i="3"/>
  <c r="A20" i="3"/>
  <c r="G12" i="3"/>
  <c r="G13" i="3"/>
  <c r="H13" i="3"/>
  <c r="H12" i="3"/>
  <c r="D14" i="3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I114" i="24"/>
  <c r="I115" i="24"/>
  <c r="A16" i="37"/>
  <c r="A17" i="37"/>
  <c r="R21" i="37"/>
  <c r="E21" i="35"/>
  <c r="C25" i="37"/>
  <c r="C35" i="37"/>
  <c r="C28" i="37"/>
  <c r="C38" i="37"/>
  <c r="C30" i="37"/>
  <c r="C40" i="37"/>
  <c r="C31" i="37"/>
  <c r="C41" i="37"/>
  <c r="R31" i="37"/>
  <c r="E31" i="35"/>
  <c r="J31" i="35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E49" i="35"/>
  <c r="G58" i="37"/>
  <c r="E53" i="35"/>
  <c r="J53" i="35"/>
  <c r="G62" i="37"/>
  <c r="G65" i="37"/>
  <c r="G63" i="37"/>
  <c r="E58" i="35"/>
  <c r="E65" i="37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E32" i="31"/>
  <c r="J193" i="35"/>
  <c r="E198" i="35"/>
  <c r="E199" i="35"/>
  <c r="F197" i="35"/>
  <c r="J197" i="35"/>
  <c r="J199" i="35"/>
  <c r="A16" i="35"/>
  <c r="E135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E45" i="35"/>
  <c r="J79" i="35"/>
  <c r="J157" i="35"/>
  <c r="J122" i="35"/>
  <c r="H84" i="35"/>
  <c r="H90" i="35"/>
  <c r="J90" i="35"/>
  <c r="A17" i="35"/>
  <c r="A18" i="35"/>
  <c r="A19" i="35"/>
  <c r="J84" i="35"/>
  <c r="J200" i="35"/>
  <c r="D28" i="3"/>
  <c r="H37" i="37"/>
  <c r="G52" i="37"/>
  <c r="E47" i="35"/>
  <c r="G53" i="37"/>
  <c r="E48" i="35"/>
  <c r="G23" i="41"/>
  <c r="G24" i="41"/>
  <c r="G55" i="37"/>
  <c r="E50" i="35"/>
  <c r="P39" i="37"/>
  <c r="G36" i="37"/>
  <c r="K36" i="37"/>
  <c r="L32" i="37"/>
  <c r="Q39" i="37"/>
  <c r="I39" i="37"/>
  <c r="M39" i="37"/>
  <c r="E40" i="37"/>
  <c r="I35" i="37"/>
  <c r="K39" i="37"/>
  <c r="E36" i="37"/>
  <c r="M36" i="37"/>
  <c r="F35" i="37"/>
  <c r="R25" i="37"/>
  <c r="E25" i="35"/>
  <c r="H39" i="37"/>
  <c r="G39" i="37"/>
  <c r="M35" i="37"/>
  <c r="L35" i="37"/>
  <c r="Q35" i="37"/>
  <c r="L39" i="37"/>
  <c r="E57" i="35"/>
  <c r="D22" i="3"/>
  <c r="N52" i="31"/>
  <c r="N54" i="31"/>
  <c r="D34" i="3"/>
  <c r="D33" i="3"/>
  <c r="D32" i="3"/>
  <c r="D31" i="3"/>
  <c r="J38" i="37"/>
  <c r="F38" i="37"/>
  <c r="F39" i="37"/>
  <c r="R30" i="37"/>
  <c r="R40" i="37"/>
  <c r="E22" i="37"/>
  <c r="L38" i="37"/>
  <c r="E37" i="37"/>
  <c r="J22" i="37"/>
  <c r="I22" i="37"/>
  <c r="Q38" i="37"/>
  <c r="K22" i="37"/>
  <c r="F22" i="37"/>
  <c r="F37" i="37"/>
  <c r="N35" i="37"/>
  <c r="R15" i="37"/>
  <c r="E15" i="35"/>
  <c r="G35" i="37"/>
  <c r="O35" i="37"/>
  <c r="G22" i="37"/>
  <c r="H35" i="37"/>
  <c r="H22" i="37"/>
  <c r="J35" i="37"/>
  <c r="R35" i="37"/>
  <c r="F65" i="37"/>
  <c r="L36" i="37"/>
  <c r="L42" i="37"/>
  <c r="L22" i="37"/>
  <c r="R18" i="37"/>
  <c r="N16" i="37"/>
  <c r="Q27" i="37"/>
  <c r="O16" i="37"/>
  <c r="N27" i="37"/>
  <c r="P36" i="37"/>
  <c r="P16" i="37"/>
  <c r="O27" i="37"/>
  <c r="R27" i="37"/>
  <c r="Q16" i="37"/>
  <c r="O36" i="37"/>
  <c r="O32" i="37"/>
  <c r="O37" i="37"/>
  <c r="O22" i="37"/>
  <c r="J21" i="35"/>
  <c r="J41" i="35"/>
  <c r="E41" i="35"/>
  <c r="R26" i="37"/>
  <c r="N36" i="37"/>
  <c r="N32" i="37"/>
  <c r="N37" i="37"/>
  <c r="N22" i="37"/>
  <c r="Q22" i="37"/>
  <c r="R16" i="37"/>
  <c r="E16" i="35"/>
  <c r="R41" i="37"/>
  <c r="E35" i="35"/>
  <c r="G13" i="41"/>
  <c r="H13" i="41"/>
  <c r="E23" i="41"/>
  <c r="F23" i="41"/>
  <c r="H23" i="41"/>
  <c r="G12" i="41"/>
  <c r="H12" i="41"/>
  <c r="H15" i="41"/>
  <c r="G14" i="41"/>
  <c r="H14" i="41"/>
  <c r="E24" i="41"/>
  <c r="F24" i="41"/>
  <c r="H24" i="41"/>
  <c r="G15" i="41"/>
  <c r="B22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E22" i="41"/>
  <c r="G42" i="37"/>
  <c r="A18" i="37"/>
  <c r="P37" i="37"/>
  <c r="P22" i="37"/>
  <c r="R17" i="37"/>
  <c r="E27" i="35"/>
  <c r="J164" i="35"/>
  <c r="J135" i="35"/>
  <c r="E88" i="35"/>
  <c r="A20" i="35"/>
  <c r="H14" i="3"/>
  <c r="E146" i="35"/>
  <c r="E18" i="35"/>
  <c r="J138" i="35"/>
  <c r="J140" i="35"/>
  <c r="J141" i="35"/>
  <c r="J143" i="35"/>
  <c r="E17" i="35"/>
  <c r="R37" i="37"/>
  <c r="J165" i="35"/>
  <c r="J168" i="35"/>
  <c r="E25" i="41"/>
  <c r="E43" i="41"/>
  <c r="A21" i="35"/>
  <c r="A19" i="37"/>
  <c r="E89" i="35"/>
  <c r="E91" i="35"/>
  <c r="J146" i="35"/>
  <c r="E37" i="35"/>
  <c r="A20" i="37"/>
  <c r="G179" i="35"/>
  <c r="H88" i="35"/>
  <c r="J88" i="35"/>
  <c r="H58" i="35"/>
  <c r="J58" i="35"/>
  <c r="H76" i="35"/>
  <c r="F172" i="35"/>
  <c r="H172" i="35"/>
  <c r="H175" i="35"/>
  <c r="J175" i="35"/>
  <c r="H16" i="35"/>
  <c r="J16" i="35"/>
  <c r="D22" i="35"/>
  <c r="A22" i="35"/>
  <c r="A23" i="35"/>
  <c r="A24" i="35"/>
  <c r="A25" i="35"/>
  <c r="A26" i="35"/>
  <c r="D35" i="35"/>
  <c r="A21" i="37"/>
  <c r="H18" i="35"/>
  <c r="H95" i="35"/>
  <c r="J76" i="35"/>
  <c r="H83" i="35"/>
  <c r="J83" i="35"/>
  <c r="H77" i="35"/>
  <c r="J147" i="35"/>
  <c r="E180" i="35"/>
  <c r="J151" i="35"/>
  <c r="A27" i="35"/>
  <c r="D36" i="35"/>
  <c r="E154" i="35"/>
  <c r="H96" i="35"/>
  <c r="J96" i="35"/>
  <c r="H19" i="35"/>
  <c r="H28" i="35"/>
  <c r="J18" i="35"/>
  <c r="D22" i="37"/>
  <c r="A22" i="37"/>
  <c r="A23" i="37"/>
  <c r="A24" i="37"/>
  <c r="A25" i="37"/>
  <c r="D35" i="37"/>
  <c r="A26" i="37"/>
  <c r="H29" i="35"/>
  <c r="H78" i="35"/>
  <c r="E164" i="35"/>
  <c r="A28" i="35"/>
  <c r="D37" i="35"/>
  <c r="H82" i="35"/>
  <c r="J82" i="35"/>
  <c r="H89" i="35"/>
  <c r="J89" i="35"/>
  <c r="J91" i="35"/>
  <c r="H80" i="35"/>
  <c r="A27" i="37"/>
  <c r="D36" i="37"/>
  <c r="A29" i="35"/>
  <c r="D38" i="35"/>
  <c r="A28" i="37"/>
  <c r="D37" i="37"/>
  <c r="J80" i="35"/>
  <c r="H81" i="35"/>
  <c r="J81" i="35"/>
  <c r="A30" i="35"/>
  <c r="D39" i="35"/>
  <c r="A31" i="35"/>
  <c r="D40" i="35"/>
  <c r="A29" i="37"/>
  <c r="D38" i="37"/>
  <c r="A30" i="37"/>
  <c r="D39" i="37"/>
  <c r="A32" i="35"/>
  <c r="A33" i="35"/>
  <c r="A34" i="35"/>
  <c r="A35" i="35"/>
  <c r="D41" i="35"/>
  <c r="D32" i="35"/>
  <c r="A31" i="37"/>
  <c r="D40" i="37"/>
  <c r="A36" i="35"/>
  <c r="A37" i="35"/>
  <c r="A38" i="35"/>
  <c r="A39" i="35"/>
  <c r="A40" i="35"/>
  <c r="A41" i="35"/>
  <c r="A42" i="35"/>
  <c r="A43" i="35"/>
  <c r="A44" i="35"/>
  <c r="A45" i="35"/>
  <c r="D42" i="35"/>
  <c r="A32" i="37"/>
  <c r="A33" i="37"/>
  <c r="A34" i="37"/>
  <c r="A35" i="37"/>
  <c r="D41" i="37"/>
  <c r="D32" i="37"/>
  <c r="A36" i="37"/>
  <c r="A37" i="37"/>
  <c r="A38" i="37"/>
  <c r="A39" i="37"/>
  <c r="A40" i="37"/>
  <c r="A41" i="37"/>
  <c r="A42" i="37"/>
  <c r="A48" i="37"/>
  <c r="A49" i="37"/>
  <c r="A50" i="37"/>
  <c r="A46" i="35"/>
  <c r="A47" i="35"/>
  <c r="A48" i="35"/>
  <c r="A49" i="35"/>
  <c r="A50" i="35"/>
  <c r="A51" i="35"/>
  <c r="A52" i="35"/>
  <c r="A53" i="35"/>
  <c r="A54" i="35"/>
  <c r="A55" i="35"/>
  <c r="A56" i="35"/>
  <c r="D42" i="37"/>
  <c r="A51" i="37"/>
  <c r="A52" i="37"/>
  <c r="A53" i="37"/>
  <c r="A54" i="37"/>
  <c r="A55" i="37"/>
  <c r="A56" i="37"/>
  <c r="A57" i="37"/>
  <c r="A58" i="37"/>
  <c r="A59" i="37"/>
  <c r="A60" i="37"/>
  <c r="A61" i="37"/>
  <c r="D56" i="37"/>
  <c r="D51" i="35"/>
  <c r="A62" i="37"/>
  <c r="A63" i="37"/>
  <c r="A64" i="37"/>
  <c r="A65" i="37"/>
  <c r="A57" i="35"/>
  <c r="A58" i="35"/>
  <c r="A59" i="35"/>
  <c r="A60" i="35"/>
  <c r="A61" i="35"/>
  <c r="A62" i="35"/>
  <c r="D62" i="35"/>
  <c r="D65" i="37"/>
  <c r="D60" i="35"/>
  <c r="A76" i="35"/>
  <c r="A77" i="35"/>
  <c r="A78" i="35"/>
  <c r="A79" i="35"/>
  <c r="A80" i="35"/>
  <c r="A81" i="35"/>
  <c r="A82" i="35"/>
  <c r="A83" i="35"/>
  <c r="A84" i="35"/>
  <c r="A85" i="35"/>
  <c r="C85" i="35"/>
  <c r="A86" i="35"/>
  <c r="A87" i="35"/>
  <c r="A88" i="35"/>
  <c r="D56" i="35"/>
  <c r="A89" i="35"/>
  <c r="A90" i="35"/>
  <c r="A91" i="35"/>
  <c r="A92" i="35"/>
  <c r="A93" i="35"/>
  <c r="A94" i="35"/>
  <c r="A95" i="35"/>
  <c r="C91" i="35"/>
  <c r="A96" i="35"/>
  <c r="A97" i="35"/>
  <c r="A98" i="35"/>
  <c r="A99" i="35"/>
  <c r="A100" i="35"/>
  <c r="A101" i="35"/>
  <c r="A102" i="35"/>
  <c r="A103" i="35"/>
  <c r="A104" i="35"/>
  <c r="A105" i="35"/>
  <c r="A106" i="35"/>
  <c r="C101" i="35"/>
  <c r="A107" i="35"/>
  <c r="A108" i="35"/>
  <c r="A109" i="35"/>
  <c r="A110" i="35"/>
  <c r="A111" i="35"/>
  <c r="A112" i="35"/>
  <c r="A113" i="35"/>
  <c r="C115" i="35"/>
  <c r="A114" i="35"/>
  <c r="A115" i="35"/>
  <c r="D110" i="35"/>
  <c r="A116" i="35"/>
  <c r="A117" i="35"/>
  <c r="A118" i="35"/>
  <c r="A119" i="35"/>
  <c r="D52" i="31"/>
  <c r="A135" i="35"/>
  <c r="C119" i="35"/>
  <c r="A136" i="35"/>
  <c r="A137" i="35"/>
  <c r="A138" i="35"/>
  <c r="A139" i="35"/>
  <c r="A140" i="35"/>
  <c r="C140" i="35"/>
  <c r="C138" i="35"/>
  <c r="A141" i="35"/>
  <c r="A142" i="35"/>
  <c r="A143" i="35"/>
  <c r="A144" i="35"/>
  <c r="A145" i="35"/>
  <c r="A146" i="35"/>
  <c r="C143" i="35"/>
  <c r="A147" i="35"/>
  <c r="A148" i="35"/>
  <c r="A149" i="35"/>
  <c r="C151" i="35"/>
  <c r="C149" i="35"/>
  <c r="C139" i="35"/>
  <c r="A150" i="35"/>
  <c r="A151" i="35"/>
  <c r="A152" i="35"/>
  <c r="A153" i="35"/>
  <c r="A154" i="35"/>
  <c r="C141" i="35"/>
  <c r="A155" i="35"/>
  <c r="A156" i="35"/>
  <c r="A157" i="35"/>
  <c r="C158" i="35"/>
  <c r="C156" i="35"/>
  <c r="A158" i="35"/>
  <c r="C159" i="35"/>
  <c r="A159" i="35"/>
  <c r="A160" i="35"/>
  <c r="A161" i="35"/>
  <c r="A162" i="35"/>
  <c r="A163" i="35"/>
  <c r="A164" i="35"/>
  <c r="C166" i="35"/>
  <c r="A165" i="35"/>
  <c r="A166" i="35"/>
  <c r="C161" i="35"/>
  <c r="C157" i="35"/>
  <c r="A167" i="35"/>
  <c r="A168" i="35"/>
  <c r="A169" i="35"/>
  <c r="A170" i="35"/>
  <c r="A171" i="35"/>
  <c r="A172" i="35"/>
  <c r="A173" i="35"/>
  <c r="C168" i="35"/>
  <c r="A174" i="35"/>
  <c r="A175" i="35"/>
  <c r="A176" i="35"/>
  <c r="A177" i="35"/>
  <c r="A178" i="35"/>
  <c r="A179" i="35"/>
  <c r="C175" i="35"/>
  <c r="A180" i="35"/>
  <c r="A181" i="35"/>
  <c r="A182" i="35"/>
  <c r="A183" i="35"/>
  <c r="A184" i="35"/>
  <c r="A185" i="35"/>
  <c r="A186" i="35"/>
  <c r="A187" i="35"/>
  <c r="A188" i="35"/>
  <c r="A189" i="35"/>
  <c r="C181" i="35"/>
  <c r="A190" i="35"/>
  <c r="A191" i="35"/>
  <c r="A192" i="35"/>
  <c r="A193" i="35"/>
  <c r="E193" i="35"/>
  <c r="D198" i="35"/>
  <c r="A194" i="35"/>
  <c r="A195" i="35"/>
  <c r="A196" i="35"/>
  <c r="C199" i="35"/>
  <c r="A197" i="35"/>
  <c r="A198" i="35"/>
  <c r="A199" i="35"/>
  <c r="C113" i="35"/>
  <c r="C107" i="35"/>
  <c r="E22" i="35"/>
  <c r="J19" i="35"/>
  <c r="E39" i="35"/>
  <c r="J39" i="35"/>
  <c r="J77" i="35"/>
  <c r="J95" i="35"/>
  <c r="E106" i="35"/>
  <c r="R22" i="37"/>
  <c r="G51" i="37"/>
  <c r="K32" i="37"/>
  <c r="J40" i="37"/>
  <c r="J42" i="37"/>
  <c r="K42" i="37"/>
  <c r="F32" i="37"/>
  <c r="E30" i="35"/>
  <c r="E40" i="35"/>
  <c r="E32" i="37"/>
  <c r="P42" i="37"/>
  <c r="R28" i="37"/>
  <c r="R38" i="37"/>
  <c r="F42" i="37"/>
  <c r="M38" i="37"/>
  <c r="M42" i="37"/>
  <c r="N42" i="37"/>
  <c r="O42" i="37"/>
  <c r="H42" i="37"/>
  <c r="I42" i="37"/>
  <c r="Q32" i="37"/>
  <c r="E28" i="35"/>
  <c r="E42" i="37"/>
  <c r="Q36" i="37"/>
  <c r="Q42" i="37"/>
  <c r="H32" i="37"/>
  <c r="I32" i="37"/>
  <c r="E26" i="35"/>
  <c r="R36" i="37"/>
  <c r="F56" i="37"/>
  <c r="G56" i="37"/>
  <c r="E46" i="35"/>
  <c r="E56" i="37"/>
  <c r="R75" i="37"/>
  <c r="R79" i="37"/>
  <c r="R71" i="37"/>
  <c r="R42" i="37"/>
  <c r="R32" i="37"/>
  <c r="E38" i="35"/>
  <c r="J28" i="35"/>
  <c r="J38" i="35"/>
  <c r="E36" i="35"/>
  <c r="E32" i="35"/>
  <c r="E42" i="35"/>
  <c r="J154" i="35"/>
  <c r="E51" i="35"/>
  <c r="J156" i="35"/>
  <c r="J158" i="35"/>
  <c r="E179" i="35"/>
  <c r="E181" i="35"/>
  <c r="J159" i="35"/>
  <c r="J161" i="35"/>
  <c r="H26" i="35"/>
  <c r="J26" i="35"/>
  <c r="F179" i="35"/>
  <c r="F180" i="35"/>
  <c r="F181" i="35"/>
  <c r="H179" i="35"/>
  <c r="J181" i="35"/>
  <c r="J36" i="35"/>
  <c r="H20" i="35"/>
  <c r="H57" i="35"/>
  <c r="J57" i="35"/>
  <c r="H30" i="35"/>
  <c r="J30" i="35"/>
  <c r="J32" i="35"/>
  <c r="J20" i="35"/>
  <c r="J22" i="35"/>
  <c r="H22" i="35"/>
  <c r="J40" i="35"/>
  <c r="J42" i="35"/>
  <c r="H42" i="35"/>
  <c r="H46" i="35"/>
  <c r="J46" i="35"/>
  <c r="H47" i="35"/>
  <c r="H59" i="35"/>
  <c r="J59" i="35"/>
  <c r="H98" i="35"/>
  <c r="H48" i="35"/>
  <c r="J48" i="35"/>
  <c r="H49" i="35"/>
  <c r="J47" i="35"/>
  <c r="H100" i="35"/>
  <c r="J100" i="35"/>
  <c r="J98" i="35"/>
  <c r="J101" i="35"/>
  <c r="H50" i="35"/>
  <c r="J50" i="35"/>
  <c r="J49" i="35"/>
  <c r="J51" i="35"/>
  <c r="E115" i="35"/>
  <c r="E56" i="35"/>
  <c r="E60" i="35"/>
  <c r="J78" i="35"/>
  <c r="J85" i="35"/>
  <c r="J56" i="35"/>
  <c r="J60" i="35"/>
  <c r="J62" i="35"/>
  <c r="J112" i="35"/>
  <c r="J110" i="35"/>
  <c r="J115" i="35"/>
  <c r="D22" i="41"/>
  <c r="J119" i="35"/>
  <c r="M52" i="31"/>
  <c r="M54" i="31"/>
  <c r="D25" i="41"/>
  <c r="E42" i="41"/>
  <c r="F22" i="41"/>
  <c r="F25" i="41"/>
  <c r="E44" i="41"/>
  <c r="E46" i="41"/>
  <c r="H22" i="41"/>
  <c r="H25" i="41"/>
  <c r="F28" i="41"/>
  <c r="F30" i="41"/>
  <c r="F29" i="41"/>
  <c r="F31" i="41"/>
  <c r="F33" i="41"/>
  <c r="F32" i="41"/>
  <c r="F34" i="41"/>
</calcChain>
</file>

<file path=xl/comments1.xml><?xml version="1.0" encoding="utf-8"?>
<comments xmlns="http://schemas.openxmlformats.org/spreadsheetml/2006/main">
  <authors>
    <author>Chris Kilpatrick</author>
    <author>Hoffman, Cody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  <comment ref="D24" authorId="1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Updated Rev Req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J50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Inlcudes Regulatory Liability Account 254-015</t>
        </r>
      </text>
    </comment>
  </commentList>
</comments>
</file>

<file path=xl/comments3.xml><?xml version="1.0" encoding="utf-8"?>
<comments xmlns="http://schemas.openxmlformats.org/spreadsheetml/2006/main">
  <authors>
    <author>Hoffman, Cody</author>
    <author>jkirsch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  <comment ref="G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<sst xmlns="http://schemas.openxmlformats.org/spreadsheetml/2006/main" count="790" uniqueCount="498">
  <si>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</si>
  <si>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</si>
  <si>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</si>
  <si>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</si>
  <si>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</si>
  <si>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</si>
  <si>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</si>
  <si>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</si>
  <si>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</si>
  <si>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</si>
  <si>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</si>
  <si>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</si>
  <si>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</si>
  <si>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</si>
  <si>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</si>
  <si>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</si>
  <si>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</si>
  <si>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</si>
  <si>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</si>
  <si>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</si>
  <si>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</si>
  <si>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</si>
  <si>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</si>
  <si>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</si>
  <si>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</si>
  <si>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</si>
  <si>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</si>
  <si>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</si>
  <si>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</si>
  <si>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</si>
  <si>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</si>
  <si>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</si>
  <si>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</si>
  <si>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</si>
  <si>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</si>
  <si>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</si>
  <si>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</si>
  <si>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</si>
  <si>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</si>
  <si>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</si>
  <si>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</si>
  <si>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</si>
  <si>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</si>
  <si>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</si>
  <si>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</si>
  <si>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</si>
  <si>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</si>
  <si>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</si>
  <si>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</si>
  <si>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</si>
  <si>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</si>
  <si>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</si>
  <si>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</si>
  <si>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</si>
  <si>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</si>
  <si>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</si>
  <si>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</si>
  <si>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</si>
  <si>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</si>
  <si>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</si>
  <si>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</si>
  <si>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</si>
  <si>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</si>
  <si>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</si>
  <si>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</si>
  <si>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</si>
  <si>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</si>
  <si>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</si>
  <si>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</si>
  <si>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</si>
  <si>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</si>
  <si>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</si>
  <si>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</si>
  <si>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</si>
  <si>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</si>
  <si>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</si>
  <si>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</si>
  <si>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</si>
  <si>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</si>
  <si>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</si>
  <si>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</si>
  <si>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</si>
  <si>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</si>
  <si>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</si>
  <si>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</si>
  <si>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</si>
  <si>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</si>
  <si>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</si>
  <si>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</si>
  <si>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</si>
  <si>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</si>
  <si>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</si>
  <si>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</si>
  <si>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</si>
  <si>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</si>
  <si>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</si>
  <si>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</si>
  <si>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</si>
  <si>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</si>
  <si>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</si>
  <si>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</si>
  <si>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</si>
  <si>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</si>
  <si>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</si>
  <si>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</si>
  <si>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</si>
  <si>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</si>
  <si>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</si>
  <si>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</si>
  <si>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</si>
  <si>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</si>
  <si>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</si>
  <si>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</si>
  <si>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</si>
  <si>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</si>
  <si>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</si>
  <si>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</si>
  <si>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</si>
  <si>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</si>
  <si>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</si>
  <si>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</si>
  <si>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</si>
  <si>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</si>
  <si>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</si>
  <si>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</si>
  <si>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</si>
  <si>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</si>
  <si>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</si>
  <si>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</si>
  <si>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</si>
  <si>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</si>
  <si>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</si>
  <si>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</si>
  <si>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</si>
  <si>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</si>
  <si>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</si>
  <si>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</si>
  <si>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</si>
  <si>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</si>
  <si>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</si>
  <si>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</si>
  <si>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</si>
  <si>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</si>
  <si>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</si>
  <si>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</si>
  <si>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</si>
  <si>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</si>
  <si>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</si>
  <si>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</si>
  <si>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</si>
  <si>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</si>
  <si>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</si>
  <si>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</si>
  <si>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</si>
  <si>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</si>
  <si>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</si>
  <si>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</si>
  <si>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</si>
  <si>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</si>
  <si>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</si>
  <si>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</si>
  <si>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</si>
  <si>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</si>
  <si>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</si>
  <si>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</si>
  <si>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</si>
  <si>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</si>
  <si>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</si>
  <si>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</si>
  <si>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</si>
  <si>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</si>
  <si>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</si>
  <si>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</si>
  <si>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</si>
  <si>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</si>
  <si>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</si>
  <si>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</si>
  <si>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</si>
  <si>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</si>
  <si>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</si>
  <si>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</si>
  <si>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</si>
  <si>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</si>
  <si>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</si>
  <si>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</si>
  <si>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</si>
  <si>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</si>
  <si>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</si>
  <si>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</si>
  <si>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</si>
  <si>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</si>
  <si>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</si>
  <si>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</si>
  <si>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</si>
  <si>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</si>
  <si>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</si>
  <si>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</si>
  <si>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</si>
  <si>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</si>
  <si>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</si>
  <si>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</si>
  <si>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</si>
  <si>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</si>
  <si>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</si>
  <si>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</si>
  <si>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</si>
  <si>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</si>
  <si>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</si>
  <si>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</si>
  <si>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</si>
  <si>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</si>
  <si>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</si>
  <si>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</si>
  <si>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</si>
  <si>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</si>
  <si>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</si>
  <si>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</si>
  <si>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</si>
  <si>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</si>
  <si>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</si>
  <si>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</si>
  <si>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</si>
  <si>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</si>
  <si>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</si>
  <si>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</si>
  <si>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</si>
  <si>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</si>
  <si>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</si>
  <si>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</si>
  <si>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</si>
  <si>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</si>
  <si>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</si>
  <si>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</si>
  <si>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</si>
  <si>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</si>
  <si>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</si>
  <si>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</si>
  <si>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</si>
  <si>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</si>
  <si>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</si>
  <si>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</si>
  <si>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</si>
  <si>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</si>
  <si>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</si>
  <si>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</si>
  <si>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</si>
  <si>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</si>
  <si>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</si>
  <si>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</si>
  <si>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</si>
  <si>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</si>
  <si>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</si>
  <si>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</si>
  <si>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</si>
  <si>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</si>
  <si>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</si>
  <si>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</si>
  <si>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</si>
  <si>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</si>
  <si>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</si>
  <si>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</si>
  <si>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</si>
  <si>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</si>
  <si>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</si>
  <si>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</si>
  <si>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</si>
  <si>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</si>
  <si>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</si>
  <si>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</si>
  <si>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</si>
  <si>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</si>
  <si>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</si>
  <si>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</si>
  <si>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</si>
  <si>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</si>
  <si>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</si>
  <si>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</si>
  <si>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</si>
  <si>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</si>
  <si>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</si>
  <si>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</si>
  <si>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</si>
  <si>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</si>
  <si>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</si>
  <si>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</si>
  <si>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</si>
  <si>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</si>
  <si>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</si>
  <si>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</si>
  <si>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</si>
  <si>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</si>
  <si>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</si>
  <si>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</si>
  <si>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</si>
  <si>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</si>
  <si>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</si>
  <si>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</si>
  <si>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</si>
  <si>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</si>
  <si>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</si>
  <si>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</si>
  <si>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</si>
  <si>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</si>
  <si>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</si>
  <si>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</si>
  <si>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</si>
  <si>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</si>
  <si>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</si>
  <si>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</si>
  <si>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</si>
  <si>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</si>
  <si>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</si>
  <si>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</si>
  <si>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</si>
  <si>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</si>
  <si>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</si>
  <si>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</si>
  <si>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</si>
  <si>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</si>
  <si>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</si>
  <si>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</si>
  <si>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</si>
  <si>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</si>
  <si>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</si>
  <si>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</si>
  <si>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</si>
  <si>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</si>
  <si>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</si>
  <si>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</si>
  <si>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</si>
  <si>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</si>
  <si>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</si>
  <si>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</si>
  <si>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</si>
  <si>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</si>
  <si>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</si>
  <si>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</si>
  <si>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</si>
  <si>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</si>
  <si>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</si>
  <si>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</si>
  <si>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</si>
  <si>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</si>
  <si>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</si>
  <si>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</si>
  <si>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</si>
  <si>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</si>
  <si>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</si>
  <si>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</si>
  <si>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</si>
  <si>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</si>
  <si>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</si>
  <si>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</si>
  <si>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</si>
  <si>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</si>
  <si>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</si>
  <si>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</si>
  <si>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</si>
  <si>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</si>
  <si>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</si>
  <si>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</si>
  <si>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</si>
  <si>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</si>
  <si>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</si>
  <si>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</si>
  <si>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</si>
  <si>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</si>
  <si>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</si>
  <si>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</si>
  <si>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</si>
  <si>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</si>
  <si>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</si>
  <si>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</si>
  <si>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</si>
  <si>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</si>
  <si>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</si>
  <si>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</si>
  <si>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</si>
  <si>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</si>
  <si>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</si>
  <si>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</si>
  <si>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</si>
  <si>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</si>
  <si>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</si>
  <si>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</si>
  <si>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</si>
  <si>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</si>
  <si>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</si>
  <si>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</si>
  <si>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</si>
  <si>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</si>
  <si>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</si>
  <si>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</si>
  <si>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</si>
  <si>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</si>
  <si>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</si>
  <si>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</si>
  <si>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</si>
  <si>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</si>
  <si>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</si>
  <si>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</si>
  <si>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</si>
  <si>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</si>
  <si>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</si>
  <si>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</si>
  <si>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</si>
  <si>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</si>
  <si>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219.28.c</t>
  </si>
  <si>
    <t>207.99.g - line 6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</si>
  <si>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</si>
  <si>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</si>
  <si>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</si>
  <si>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</si>
  <si>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</si>
  <si>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</si>
  <si>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</si>
  <si>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</si>
  <si>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</si>
  <si>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</si>
  <si>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</si>
  <si>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</si>
  <si>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</si>
  <si>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</si>
  <si>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</si>
  <si>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</si>
  <si>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</si>
  <si>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</si>
  <si>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</si>
  <si>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</si>
  <si>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</si>
  <si>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</si>
  <si>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</si>
  <si>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</si>
  <si>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</si>
  <si>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</si>
  <si>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</si>
  <si>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Actual Expenses (2016)</t>
  </si>
  <si>
    <t>O&amp;M - Acct 561 (2015)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</si>
  <si>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</si>
  <si>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</si>
  <si>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</si>
  <si>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</si>
  <si>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</si>
  <si>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</si>
  <si>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</si>
  <si>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</si>
  <si>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</si>
  <si>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</si>
  <si>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</si>
  <si>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</si>
  <si>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12/31/16 &amp; 12/31/17 average balance</t>
  </si>
  <si>
    <r>
      <t>2017 Actual Load Data</t>
    </r>
    <r>
      <rPr>
        <b/>
        <vertAlign val="superscript"/>
        <sz val="12"/>
        <rFont val="Arial"/>
        <family val="2"/>
      </rPr>
      <t>1</t>
    </r>
  </si>
  <si>
    <r>
      <t>2017 Projected Load Data</t>
    </r>
    <r>
      <rPr>
        <b/>
        <vertAlign val="superscript"/>
        <sz val="12"/>
        <rFont val="Arial"/>
        <family val="2"/>
      </rPr>
      <t>2</t>
    </r>
  </si>
  <si>
    <t>Amount based on actual calendar year 2017</t>
  </si>
  <si>
    <t xml:space="preserve">  Account No. 254 (enter negative)</t>
  </si>
  <si>
    <t>278.3.f</t>
  </si>
  <si>
    <t>(232.1.f)*.21</t>
  </si>
  <si>
    <t>HORIZON POINT</t>
  </si>
  <si>
    <t>BHP-138901-Land</t>
  </si>
  <si>
    <t>PHP-Str&amp;Improve-HP</t>
  </si>
  <si>
    <t>BHP-139103-Computer-Hdwre</t>
  </si>
  <si>
    <t>BHP139104-Software</t>
  </si>
  <si>
    <t>Reserve</t>
  </si>
  <si>
    <t>Row Labels</t>
  </si>
  <si>
    <t>353</t>
  </si>
  <si>
    <t>BHP Elec Distribution-SD-Pennington County</t>
  </si>
  <si>
    <t>BHP Elec Sub - SD 01 - RC 230/69KV LANGE SUB (T)</t>
  </si>
  <si>
    <t>BHP Elec Sub - SD 64 - EDGEMONT SUB (D)</t>
  </si>
  <si>
    <t>BHP Elec Sub - SD 65 - HOT SPRINGS CITY SUB (D)</t>
  </si>
  <si>
    <t>BHP Elec Sub - WY 10 - NEWCASTLE STEEL SUB (D)</t>
  </si>
  <si>
    <t>BHP Elec Sub - WY 20 - NSI 69/4.16KV SUB - WEST (D)</t>
  </si>
  <si>
    <t>BHP Elec T Line-SD 1.02-LOOKOUT-LANGE - 230KV</t>
  </si>
  <si>
    <t>362</t>
  </si>
  <si>
    <t xml:space="preserve">Total Distribution </t>
  </si>
  <si>
    <t>(See Workpaper 7 2017 Actual Load Data)</t>
  </si>
  <si>
    <t>RECLASSED TO:</t>
  </si>
  <si>
    <t>Actual 2017 Load</t>
  </si>
  <si>
    <t>TRUE UP OF RATES FOR CALENDAR YEAR 2017</t>
  </si>
  <si>
    <t>Date: May 31, 2018</t>
  </si>
  <si>
    <t>Effective August 1, 2018</t>
  </si>
  <si>
    <t xml:space="preserve">SW Maintenance </t>
  </si>
  <si>
    <t>SW maintenance effect on Retained Earnings</t>
  </si>
  <si>
    <t>Depreciation rate change Adj</t>
  </si>
  <si>
    <t>Account 282 Adjustment</t>
  </si>
  <si>
    <t>Original</t>
  </si>
  <si>
    <t>Adjustment</t>
  </si>
  <si>
    <t>Adjusted</t>
  </si>
  <si>
    <t>ACCUMULATED DEPRECIATION CORRECTION SUMMARY</t>
  </si>
  <si>
    <t>Transmission Originally provided</t>
  </si>
  <si>
    <t>Transmission Adjustment</t>
  </si>
  <si>
    <t>Adjusted Transmission</t>
  </si>
  <si>
    <t>General and Intangible Originally provided</t>
  </si>
  <si>
    <t>General and Intangible Adjustment</t>
  </si>
  <si>
    <t>Adjusted General and Intangible</t>
  </si>
  <si>
    <t>Communication System Originally provided</t>
  </si>
  <si>
    <t>Communication System Adjustment</t>
  </si>
  <si>
    <t>Adjusted Communication System</t>
  </si>
  <si>
    <t>Benefit Geography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</si>
</sst>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80" formatCode="_(&quot;$&quot;* #,##0.0000_);_(&quot;$&quot;* \(#,##0.0000\);_(&quot;$&quot;* &quot;-&quot;??_);_(@_)"/>
    <numFmt numFmtId="181" formatCode="_(&quot;$&quot;* #,##0.00000_);_(&quot;$&quot;* \(#,##0.00000\);_(&quot;$&quot;* &quot;-&quot;??_);_(@_)"/>
    <numFmt numFmtId="183" formatCode="mmm\-yyyy"/>
    <numFmt numFmtId="184" formatCode="0.0000%"/>
    <numFmt numFmtId="185" formatCode="#,##0.000000"/>
    <numFmt numFmtId="186" formatCode="[$-409]mmm\-yy;@"/>
    <numFmt numFmtId="187" formatCode="&quot;$&quot;#,##0.0;[Red]\-&quot;$&quot;#,##0.0"/>
    <numFmt numFmtId="188" formatCode="00000"/>
    <numFmt numFmtId="189" formatCode="#,##0\ ;\(#,##0\);\-\ \ \ \ \ "/>
    <numFmt numFmtId="190" formatCode="#,##0\ ;\(#,##0\);\–\ \ \ \ \ "/>
    <numFmt numFmtId="191" formatCode="#,##0;\(#,##0\)"/>
    <numFmt numFmtId="192" formatCode="yyyymmdd"/>
    <numFmt numFmtId="193" formatCode="_([$€-2]* #,##0.00_);_([$€-2]* \(#,##0.00\);_([$€-2]* &quot;-&quot;??_)"/>
    <numFmt numFmtId="194" formatCode="_-* #,##0.0_-;\-* #,##0.0_-;_-* &quot;-&quot;??_-;_-@_-"/>
    <numFmt numFmtId="195" formatCode="#,##0.00&quot; $&quot;;\-#,##0.00&quot; $&quot;"/>
    <numFmt numFmtId="196" formatCode="000000000"/>
    <numFmt numFmtId="197" formatCode="#,##0.0_);\(#,##0.0\)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.00_)"/>
    <numFmt numFmtId="201" formatCode="00"/>
    <numFmt numFmtId="202" formatCode="0_);\(0\)"/>
    <numFmt numFmtId="203" formatCode="000\-00\-0000"/>
    <numFmt numFmtId="208" formatCode="[$-409]mmmm\ d\,\ yyyy;@"/>
  </numFmts>
  <fonts count="99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42">
    <xf numFmtId="172" fontId="0" fillId="0" borderId="0" applyProtection="0"/>
    <xf numFmtId="0" fontId="6" fillId="0" borderId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0" fontId="6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38" fontId="49" fillId="0" borderId="0" applyBorder="0" applyAlignment="0"/>
    <xf numFmtId="187" fontId="43" fillId="20" borderId="1">
      <alignment horizontal="center" vertical="center"/>
    </xf>
    <xf numFmtId="188" fontId="6" fillId="0" borderId="2">
      <alignment horizontal="left"/>
    </xf>
    <xf numFmtId="0" fontId="50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1" fillId="0" borderId="0" applyNumberFormat="0" applyFill="0" applyBorder="0" applyAlignment="0" applyProtection="0"/>
    <xf numFmtId="189" fontId="52" fillId="0" borderId="3" applyNumberFormat="0" applyFill="0" applyAlignment="0" applyProtection="0">
      <alignment horizontal="center"/>
    </xf>
    <xf numFmtId="190" fontId="52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3" fillId="0" borderId="0" applyFill="0">
      <alignment vertical="top"/>
    </xf>
    <xf numFmtId="0" fontId="54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3" fillId="0" borderId="0" applyFill="0">
      <alignment wrapText="1"/>
    </xf>
    <xf numFmtId="0" fontId="54" fillId="0" borderId="0" applyFill="0">
      <alignment horizontal="left" vertical="top" wrapText="1"/>
    </xf>
    <xf numFmtId="37" fontId="10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56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57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5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9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37" fontId="59" fillId="0" borderId="0" applyFill="0">
      <alignment horizontal="right"/>
    </xf>
    <xf numFmtId="0" fontId="55" fillId="0" borderId="0" applyNumberFormat="0" applyFont="0" applyAlignment="0">
      <alignment horizontal="center"/>
    </xf>
    <xf numFmtId="0" fontId="62" fillId="0" borderId="0">
      <alignment horizontal="center" wrapText="1"/>
    </xf>
    <xf numFmtId="0" fontId="63" fillId="0" borderId="0" applyFill="0">
      <alignment horizontal="center" wrapText="1"/>
    </xf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43" fontId="6" fillId="0" borderId="0" applyFont="0" applyFill="0" applyBorder="0" applyAlignment="0" applyProtection="0"/>
    <xf numFmtId="191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65" fillId="0" borderId="0" applyFont="0" applyFill="0" applyBorder="0" applyAlignment="0" applyProtection="0"/>
    <xf numFmtId="4" fontId="67" fillId="0" borderId="0" applyFont="0" applyFill="0" applyBorder="0" applyAlignment="0" applyProtection="0"/>
    <xf numFmtId="0" fontId="6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8" fontId="67" fillId="0" borderId="0" applyFont="0" applyFill="0" applyBorder="0" applyAlignment="0" applyProtection="0"/>
    <xf numFmtId="192" fontId="6" fillId="0" borderId="2">
      <alignment horizontal="center"/>
    </xf>
    <xf numFmtId="193" fontId="6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4" fontId="6" fillId="0" borderId="0">
      <protection locked="0"/>
    </xf>
    <xf numFmtId="0" fontId="67" fillId="0" borderId="0"/>
    <xf numFmtId="0" fontId="68" fillId="0" borderId="0"/>
    <xf numFmtId="0" fontId="69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38" fontId="10" fillId="23" borderId="0" applyNumberFormat="0" applyBorder="0" applyAlignment="0" applyProtection="0"/>
    <xf numFmtId="0" fontId="70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1" fillId="0" borderId="0">
      <alignment horizontal="center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5" fontId="6" fillId="0" borderId="0">
      <protection locked="0"/>
    </xf>
    <xf numFmtId="195" fontId="6" fillId="0" borderId="0">
      <protection locked="0"/>
    </xf>
    <xf numFmtId="0" fontId="72" fillId="0" borderId="14" applyNumberFormat="0" applyFill="0" applyAlignment="0" applyProtection="0"/>
    <xf numFmtId="0" fontId="33" fillId="7" borderId="7" applyNumberFormat="0" applyAlignment="0" applyProtection="0"/>
    <xf numFmtId="10" fontId="10" fillId="24" borderId="2" applyNumberFormat="0" applyBorder="0" applyAlignment="0" applyProtection="0"/>
    <xf numFmtId="0" fontId="33" fillId="7" borderId="7" applyNumberFormat="0" applyAlignment="0" applyProtection="0"/>
    <xf numFmtId="0" fontId="10" fillId="23" borderId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196" fontId="6" fillId="0" borderId="2">
      <alignment horizontal="center"/>
    </xf>
    <xf numFmtId="197" fontId="73" fillId="0" borderId="0"/>
    <xf numFmtId="17" fontId="74" fillId="0" borderId="0">
      <alignment horizontal="center"/>
    </xf>
    <xf numFmtId="19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3" fontId="75" fillId="0" borderId="0" applyNumberFormat="0" applyFill="0" applyBorder="0" applyAlignment="0" applyProtection="0"/>
    <xf numFmtId="0" fontId="52" fillId="0" borderId="0" applyNumberFormat="0" applyFill="0" applyAlignment="0" applyProtection="0"/>
    <xf numFmtId="37" fontId="76" fillId="0" borderId="0"/>
    <xf numFmtId="200" fontId="77" fillId="0" borderId="0"/>
    <xf numFmtId="172" fontId="1" fillId="0" borderId="0" applyProtection="0"/>
    <xf numFmtId="0" fontId="6" fillId="0" borderId="0"/>
    <xf numFmtId="0" fontId="96" fillId="0" borderId="0"/>
    <xf numFmtId="0" fontId="65" fillId="0" borderId="0"/>
    <xf numFmtId="0" fontId="6" fillId="0" borderId="0"/>
    <xf numFmtId="0" fontId="92" fillId="0" borderId="0"/>
    <xf numFmtId="0" fontId="6" fillId="0" borderId="2">
      <alignment horizontal="center" wrapText="1"/>
    </xf>
    <xf numFmtId="2" fontId="6" fillId="0" borderId="2">
      <alignment horizontal="center"/>
    </xf>
    <xf numFmtId="201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6" fillId="21" borderId="17" applyNumberFormat="0" applyAlignment="0" applyProtection="0"/>
    <xf numFmtId="0" fontId="36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3">
      <alignment horizontal="center"/>
    </xf>
    <xf numFmtId="3" fontId="37" fillId="0" borderId="0" applyFont="0" applyFill="0" applyBorder="0" applyAlignment="0" applyProtection="0"/>
    <xf numFmtId="0" fontId="37" fillId="27" borderId="0" applyNumberFormat="0" applyFont="0" applyBorder="0" applyAlignment="0" applyProtection="0"/>
    <xf numFmtId="37" fontId="10" fillId="23" borderId="0" applyFill="0">
      <alignment horizontal="right"/>
    </xf>
    <xf numFmtId="0" fontId="59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8" fillId="0" borderId="0" applyFill="0"/>
    <xf numFmtId="0" fontId="10" fillId="0" borderId="0" applyFill="0">
      <alignment horizontal="left"/>
    </xf>
    <xf numFmtId="202" fontId="10" fillId="0" borderId="4" applyFill="0">
      <alignment horizontal="right"/>
    </xf>
    <xf numFmtId="0" fontId="6" fillId="0" borderId="0" applyNumberFormat="0" applyFont="0" applyBorder="0" applyAlignment="0"/>
    <xf numFmtId="0" fontId="56" fillId="0" borderId="0" applyFill="0">
      <alignment horizontal="left" indent="1"/>
    </xf>
    <xf numFmtId="0" fontId="59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6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9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8" fillId="0" borderId="0">
      <alignment horizontal="left" indent="4"/>
    </xf>
    <xf numFmtId="0" fontId="10" fillId="0" borderId="0" applyFill="0">
      <alignment horizontal="left"/>
    </xf>
    <xf numFmtId="37" fontId="59" fillId="0" borderId="0" applyFill="0">
      <alignment horizontal="right"/>
    </xf>
    <xf numFmtId="0" fontId="6" fillId="0" borderId="0" applyNumberFormat="0" applyFont="0" applyBorder="0" applyAlignment="0"/>
    <xf numFmtId="0" fontId="60" fillId="0" borderId="0">
      <alignment horizontal="left" indent="5"/>
    </xf>
    <xf numFmtId="0" fontId="59" fillId="0" borderId="0" applyFill="0">
      <alignment horizontal="left"/>
    </xf>
    <xf numFmtId="37" fontId="59" fillId="0" borderId="0" applyFill="0">
      <alignment horizontal="right"/>
    </xf>
    <xf numFmtId="0" fontId="6" fillId="0" borderId="0" applyNumberFormat="0" applyFont="0" applyFill="0" applyBorder="0" applyAlignment="0"/>
    <xf numFmtId="0" fontId="62" fillId="0" borderId="0" applyFill="0">
      <alignment horizontal="left" indent="6"/>
    </xf>
    <xf numFmtId="0" fontId="59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80" fillId="0" borderId="0" applyNumberFormat="0" applyAlignment="0">
      <alignment horizontal="centerContinuous"/>
    </xf>
    <xf numFmtId="0" fontId="52" fillId="0" borderId="4" applyNumberFormat="0" applyFill="0" applyAlignment="0" applyProtection="0"/>
    <xf numFmtId="37" fontId="81" fillId="0" borderId="0" applyNumberFormat="0">
      <alignment horizontal="left"/>
    </xf>
    <xf numFmtId="203" fontId="6" fillId="0" borderId="2">
      <alignment horizontal="center" wrapText="1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3" fontId="6" fillId="0" borderId="0" applyFill="0" applyBorder="0" applyAlignment="0" applyProtection="0">
      <alignment wrapText="1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37" fontId="84" fillId="0" borderId="0" applyNumberFormat="0">
      <alignment horizontal="left"/>
    </xf>
    <xf numFmtId="197" fontId="85" fillId="0" borderId="0"/>
    <xf numFmtId="40" fontId="86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7" fillId="0" borderId="14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400">
    <xf numFmtId="172" fontId="0" fillId="0" borderId="0" xfId="0" applyAlignment="1"/>
    <xf numFmtId="172" fontId="2" fillId="0" borderId="0" xfId="0" applyFont="1" applyAlignment="1"/>
    <xf numFmtId="0" fontId="3" fillId="0" borderId="0" xfId="0" applyNumberFormat="1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172" fontId="3" fillId="0" borderId="0" xfId="0" applyFont="1" applyAlignment="1"/>
    <xf numFmtId="0" fontId="5" fillId="0" borderId="0" xfId="0" applyNumberFormat="1" applyFont="1" applyAlignment="1"/>
    <xf numFmtId="49" fontId="3" fillId="0" borderId="0" xfId="0" applyNumberFormat="1" applyFont="1"/>
    <xf numFmtId="3" fontId="5" fillId="0" borderId="0" xfId="0" applyNumberFormat="1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Fill="1" applyAlignment="1"/>
    <xf numFmtId="0" fontId="3" fillId="0" borderId="3" xfId="0" applyNumberFormat="1" applyFont="1" applyBorder="1" applyAlignment="1" applyProtection="1">
      <alignment horizontal="center"/>
      <protection locked="0"/>
    </xf>
    <xf numFmtId="172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10" fillId="0" borderId="0" xfId="172" applyFont="1"/>
    <xf numFmtId="0" fontId="6" fillId="0" borderId="0" xfId="172" applyFont="1"/>
    <xf numFmtId="0" fontId="5" fillId="0" borderId="0" xfId="172" applyFont="1"/>
    <xf numFmtId="0" fontId="11" fillId="0" borderId="0" xfId="172" applyFont="1" applyAlignment="1">
      <alignment horizontal="center"/>
    </xf>
    <xf numFmtId="0" fontId="9" fillId="0" borderId="0" xfId="172" applyFont="1"/>
    <xf numFmtId="0" fontId="10" fillId="0" borderId="0" xfId="172" applyFont="1" applyAlignment="1">
      <alignment horizontal="center"/>
    </xf>
    <xf numFmtId="0" fontId="10" fillId="0" borderId="4" xfId="172" applyFont="1" applyBorder="1" applyAlignment="1">
      <alignment horizontal="center"/>
    </xf>
    <xf numFmtId="0" fontId="12" fillId="0" borderId="0" xfId="172" applyFont="1"/>
    <xf numFmtId="0" fontId="8" fillId="0" borderId="0" xfId="172" applyFont="1"/>
    <xf numFmtId="0" fontId="10" fillId="0" borderId="0" xfId="172" applyFont="1" applyAlignment="1">
      <alignment horizontal="right"/>
    </xf>
    <xf numFmtId="0" fontId="8" fillId="0" borderId="0" xfId="172" applyFont="1" applyAlignment="1">
      <alignment horizontal="left"/>
    </xf>
    <xf numFmtId="0" fontId="11" fillId="0" borderId="0" xfId="172" applyFont="1"/>
    <xf numFmtId="164" fontId="10" fillId="0" borderId="0" xfId="172" applyNumberFormat="1" applyFont="1"/>
    <xf numFmtId="0" fontId="10" fillId="0" borderId="0" xfId="171" applyFont="1"/>
    <xf numFmtId="0" fontId="14" fillId="0" borderId="0" xfId="172" applyFont="1" applyAlignment="1">
      <alignment horizontal="left"/>
    </xf>
    <xf numFmtId="0" fontId="16" fillId="0" borderId="0" xfId="172" applyFont="1"/>
    <xf numFmtId="0" fontId="6" fillId="0" borderId="0" xfId="169" applyAlignment="1">
      <alignment horizontal="center"/>
    </xf>
    <xf numFmtId="0" fontId="6" fillId="0" borderId="0" xfId="169"/>
    <xf numFmtId="0" fontId="14" fillId="0" borderId="0" xfId="169" applyFont="1"/>
    <xf numFmtId="0" fontId="6" fillId="0" borderId="3" xfId="169" applyBorder="1" applyAlignment="1">
      <alignment horizontal="center"/>
    </xf>
    <xf numFmtId="0" fontId="6" fillId="0" borderId="3" xfId="169" applyBorder="1"/>
    <xf numFmtId="0" fontId="6" fillId="0" borderId="3" xfId="169" applyBorder="1" applyAlignment="1">
      <alignment horizontal="center" wrapText="1"/>
    </xf>
    <xf numFmtId="0" fontId="6" fillId="0" borderId="0" xfId="169" applyAlignment="1">
      <alignment horizontal="center" wrapText="1"/>
    </xf>
    <xf numFmtId="3" fontId="6" fillId="0" borderId="0" xfId="169" applyNumberFormat="1"/>
    <xf numFmtId="9" fontId="6" fillId="0" borderId="0" xfId="178"/>
    <xf numFmtId="41" fontId="6" fillId="0" borderId="0" xfId="169" applyNumberFormat="1"/>
    <xf numFmtId="174" fontId="6" fillId="0" borderId="0" xfId="169" applyNumberFormat="1"/>
    <xf numFmtId="43" fontId="6" fillId="0" borderId="0" xfId="169" applyNumberFormat="1"/>
    <xf numFmtId="173" fontId="6" fillId="0" borderId="0" xfId="169" applyNumberFormat="1"/>
    <xf numFmtId="174" fontId="6" fillId="0" borderId="3" xfId="169" applyNumberFormat="1" applyBorder="1"/>
    <xf numFmtId="0" fontId="6" fillId="0" borderId="0" xfId="169" quotePrefix="1"/>
    <xf numFmtId="44" fontId="6" fillId="0" borderId="0" xfId="112"/>
    <xf numFmtId="0" fontId="6" fillId="0" borderId="0" xfId="170"/>
    <xf numFmtId="0" fontId="6" fillId="0" borderId="0" xfId="170" applyAlignment="1">
      <alignment horizontal="center"/>
    </xf>
    <xf numFmtId="0" fontId="14" fillId="0" borderId="0" xfId="170" applyFont="1"/>
    <xf numFmtId="44" fontId="6" fillId="0" borderId="0" xfId="170" applyNumberFormat="1"/>
    <xf numFmtId="0" fontId="6" fillId="0" borderId="0" xfId="170" applyFont="1"/>
    <xf numFmtId="0" fontId="6" fillId="0" borderId="0" xfId="169" applyFont="1"/>
    <xf numFmtId="0" fontId="13" fillId="0" borderId="0" xfId="172" applyFont="1" applyAlignment="1">
      <alignment horizontal="right"/>
    </xf>
    <xf numFmtId="0" fontId="14" fillId="0" borderId="0" xfId="169" applyFont="1" applyAlignment="1">
      <alignment horizontal="right"/>
    </xf>
    <xf numFmtId="0" fontId="14" fillId="0" borderId="0" xfId="169" applyFont="1" applyAlignment="1">
      <alignment horizontal="center"/>
    </xf>
    <xf numFmtId="0" fontId="6" fillId="0" borderId="0" xfId="170" applyFill="1"/>
    <xf numFmtId="173" fontId="6" fillId="0" borderId="0" xfId="105" applyNumberFormat="1" applyFont="1" applyFill="1"/>
    <xf numFmtId="0" fontId="6" fillId="0" borderId="19" xfId="167" applyBorder="1" applyAlignment="1">
      <alignment horizontal="center"/>
    </xf>
    <xf numFmtId="0" fontId="6" fillId="0" borderId="20" xfId="167" applyBorder="1" applyAlignment="1">
      <alignment horizontal="center"/>
    </xf>
    <xf numFmtId="0" fontId="6" fillId="0" borderId="0" xfId="167"/>
    <xf numFmtId="0" fontId="6" fillId="0" borderId="21" xfId="167" applyBorder="1" applyAlignment="1">
      <alignment horizontal="center"/>
    </xf>
    <xf numFmtId="0" fontId="6" fillId="0" borderId="0" xfId="167" applyBorder="1" applyAlignment="1">
      <alignment horizontal="center"/>
    </xf>
    <xf numFmtId="0" fontId="6" fillId="0" borderId="22" xfId="167" applyBorder="1" applyAlignment="1">
      <alignment horizontal="center"/>
    </xf>
    <xf numFmtId="0" fontId="6" fillId="0" borderId="3" xfId="167" applyBorder="1" applyAlignment="1">
      <alignment horizontal="center"/>
    </xf>
    <xf numFmtId="0" fontId="6" fillId="0" borderId="0" xfId="167" applyBorder="1"/>
    <xf numFmtId="0" fontId="6" fillId="0" borderId="21" xfId="167" applyBorder="1"/>
    <xf numFmtId="0" fontId="6" fillId="0" borderId="9" xfId="167" applyBorder="1"/>
    <xf numFmtId="10" fontId="6" fillId="0" borderId="0" xfId="167" applyNumberFormat="1"/>
    <xf numFmtId="10" fontId="6" fillId="0" borderId="0" xfId="167" applyNumberFormat="1" applyBorder="1" applyAlignment="1">
      <alignment horizontal="center"/>
    </xf>
    <xf numFmtId="0" fontId="6" fillId="0" borderId="23" xfId="167" applyFont="1" applyBorder="1"/>
    <xf numFmtId="0" fontId="6" fillId="0" borderId="0" xfId="167" applyAlignment="1">
      <alignment horizontal="left"/>
    </xf>
    <xf numFmtId="0" fontId="6" fillId="0" borderId="0" xfId="167" applyFont="1"/>
    <xf numFmtId="0" fontId="6" fillId="0" borderId="0" xfId="167" applyAlignment="1"/>
    <xf numFmtId="0" fontId="6" fillId="0" borderId="0" xfId="167" applyFont="1" applyAlignment="1">
      <alignment horizontal="left"/>
    </xf>
    <xf numFmtId="0" fontId="6" fillId="0" borderId="3" xfId="169" applyFont="1" applyBorder="1" applyAlignment="1">
      <alignment horizontal="center" wrapText="1"/>
    </xf>
    <xf numFmtId="44" fontId="6" fillId="0" borderId="0" xfId="112" applyNumberFormat="1"/>
    <xf numFmtId="44" fontId="6" fillId="0" borderId="0" xfId="169" applyNumberFormat="1"/>
    <xf numFmtId="180" fontId="6" fillId="0" borderId="0" xfId="112" applyNumberFormat="1"/>
    <xf numFmtId="181" fontId="6" fillId="0" borderId="0" xfId="112" applyNumberFormat="1"/>
    <xf numFmtId="0" fontId="6" fillId="0" borderId="0" xfId="169" applyFont="1" applyFill="1"/>
    <xf numFmtId="0" fontId="6" fillId="0" borderId="0" xfId="169" applyFill="1"/>
    <xf numFmtId="173" fontId="3" fillId="0" borderId="0" xfId="105" applyNumberFormat="1" applyFont="1" applyAlignment="1"/>
    <xf numFmtId="0" fontId="3" fillId="0" borderId="0" xfId="0" applyNumberFormat="1" applyFont="1" applyAlignment="1">
      <alignment horizontal="fill"/>
    </xf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24" xfId="167" applyFill="1" applyBorder="1" applyAlignment="1">
      <alignment horizontal="center"/>
    </xf>
    <xf numFmtId="0" fontId="6" fillId="0" borderId="20" xfId="167" applyFill="1" applyBorder="1" applyAlignment="1">
      <alignment horizontal="center"/>
    </xf>
    <xf numFmtId="0" fontId="6" fillId="0" borderId="25" xfId="167" applyFill="1" applyBorder="1" applyAlignment="1">
      <alignment horizontal="center"/>
    </xf>
    <xf numFmtId="0" fontId="6" fillId="0" borderId="0" xfId="167" applyFill="1" applyBorder="1" applyAlignment="1">
      <alignment horizontal="center"/>
    </xf>
    <xf numFmtId="0" fontId="6" fillId="0" borderId="25" xfId="167" applyFont="1" applyFill="1" applyBorder="1" applyAlignment="1">
      <alignment horizontal="center"/>
    </xf>
    <xf numFmtId="0" fontId="6" fillId="0" borderId="26" xfId="167" applyFill="1" applyBorder="1" applyAlignment="1">
      <alignment horizontal="center"/>
    </xf>
    <xf numFmtId="0" fontId="6" fillId="0" borderId="3" xfId="167" applyFill="1" applyBorder="1" applyAlignment="1">
      <alignment horizontal="center"/>
    </xf>
    <xf numFmtId="0" fontId="6" fillId="0" borderId="25" xfId="167" applyFill="1" applyBorder="1"/>
    <xf numFmtId="1" fontId="6" fillId="0" borderId="27" xfId="167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49" fontId="5" fillId="0" borderId="0" xfId="0" applyNumberFormat="1" applyFont="1" applyAlignment="1">
      <alignment horizontal="center"/>
    </xf>
    <xf numFmtId="0" fontId="6" fillId="0" borderId="0" xfId="170" applyFont="1" applyAlignment="1">
      <alignment horizontal="center"/>
    </xf>
    <xf numFmtId="0" fontId="6" fillId="0" borderId="4" xfId="170" applyFont="1" applyBorder="1" applyAlignment="1">
      <alignment horizontal="center"/>
    </xf>
    <xf numFmtId="0" fontId="3" fillId="0" borderId="0" xfId="170" applyFont="1" applyFill="1" applyAlignment="1">
      <alignment horizontal="left"/>
    </xf>
    <xf numFmtId="0" fontId="6" fillId="0" borderId="24" xfId="167" applyFont="1" applyFill="1" applyBorder="1" applyAlignment="1">
      <alignment horizontal="center"/>
    </xf>
    <xf numFmtId="0" fontId="6" fillId="0" borderId="26" xfId="167" applyFont="1" applyFill="1" applyBorder="1" applyAlignment="1">
      <alignment horizontal="center"/>
    </xf>
    <xf numFmtId="0" fontId="6" fillId="0" borderId="25" xfId="167" quotePrefix="1" applyFont="1" applyFill="1" applyBorder="1" applyAlignment="1">
      <alignment horizontal="left"/>
    </xf>
    <xf numFmtId="0" fontId="6" fillId="0" borderId="20" xfId="167" applyFill="1" applyBorder="1"/>
    <xf numFmtId="0" fontId="6" fillId="0" borderId="0" xfId="167" applyFill="1" applyBorder="1"/>
    <xf numFmtId="0" fontId="6" fillId="0" borderId="26" xfId="167" quotePrefix="1" applyFont="1" applyFill="1" applyBorder="1" applyAlignment="1">
      <alignment horizontal="left"/>
    </xf>
    <xf numFmtId="0" fontId="6" fillId="0" borderId="3" xfId="167" applyFill="1" applyBorder="1"/>
    <xf numFmtId="172" fontId="18" fillId="0" borderId="0" xfId="0" applyFont="1" applyAlignment="1"/>
    <xf numFmtId="0" fontId="18" fillId="0" borderId="0" xfId="168" applyFont="1" applyFill="1" applyAlignment="1">
      <alignment horizontal="center"/>
    </xf>
    <xf numFmtId="172" fontId="16" fillId="0" borderId="0" xfId="0" applyFont="1" applyAlignment="1"/>
    <xf numFmtId="172" fontId="16" fillId="0" borderId="0" xfId="0" applyFont="1" applyAlignment="1">
      <alignment horizontal="center"/>
    </xf>
    <xf numFmtId="172" fontId="16" fillId="0" borderId="4" xfId="0" applyFont="1" applyBorder="1" applyAlignment="1">
      <alignment horizontal="center"/>
    </xf>
    <xf numFmtId="184" fontId="18" fillId="0" borderId="6" xfId="178" applyNumberFormat="1" applyFont="1" applyBorder="1" applyAlignment="1"/>
    <xf numFmtId="0" fontId="6" fillId="0" borderId="0" xfId="167" applyFont="1" applyFill="1" applyAlignment="1">
      <alignment horizontal="left"/>
    </xf>
    <xf numFmtId="0" fontId="6" fillId="0" borderId="0" xfId="167" applyFill="1"/>
    <xf numFmtId="0" fontId="6" fillId="0" borderId="0" xfId="167" applyFill="1" applyAlignment="1">
      <alignment horizontal="left"/>
    </xf>
    <xf numFmtId="172" fontId="43" fillId="0" borderId="0" xfId="0" applyFont="1" applyAlignment="1"/>
    <xf numFmtId="172" fontId="18" fillId="0" borderId="0" xfId="0" applyFont="1" applyFill="1" applyAlignment="1"/>
    <xf numFmtId="0" fontId="10" fillId="0" borderId="0" xfId="172" applyFont="1" applyFill="1"/>
    <xf numFmtId="0" fontId="6" fillId="0" borderId="4" xfId="170" applyFont="1" applyBorder="1"/>
    <xf numFmtId="44" fontId="6" fillId="0" borderId="4" xfId="170" applyNumberFormat="1" applyFont="1" applyBorder="1" applyAlignment="1">
      <alignment horizontal="center"/>
    </xf>
    <xf numFmtId="0" fontId="6" fillId="0" borderId="0" xfId="170" applyFont="1" applyAlignment="1">
      <alignment horizontal="right"/>
    </xf>
    <xf numFmtId="172" fontId="18" fillId="0" borderId="0" xfId="0" applyFont="1" applyFill="1"/>
    <xf numFmtId="172" fontId="6" fillId="0" borderId="0" xfId="0" applyFont="1" applyAlignment="1"/>
    <xf numFmtId="172" fontId="16" fillId="0" borderId="0" xfId="0" applyFont="1" applyFill="1" applyAlignment="1">
      <alignment horizontal="center"/>
    </xf>
    <xf numFmtId="173" fontId="18" fillId="0" borderId="0" xfId="105" applyNumberFormat="1" applyFont="1" applyAlignment="1"/>
    <xf numFmtId="3" fontId="44" fillId="0" borderId="0" xfId="0" applyNumberFormat="1" applyFont="1" applyAlignment="1"/>
    <xf numFmtId="0" fontId="10" fillId="0" borderId="0" xfId="172" applyFont="1" applyFill="1" applyAlignment="1">
      <alignment horizontal="center"/>
    </xf>
    <xf numFmtId="164" fontId="10" fillId="0" borderId="0" xfId="172" applyNumberFormat="1" applyFont="1" applyFill="1"/>
    <xf numFmtId="0" fontId="13" fillId="0" borderId="0" xfId="172" applyFont="1" applyFill="1"/>
    <xf numFmtId="0" fontId="16" fillId="0" borderId="0" xfId="172" applyFont="1" applyFill="1"/>
    <xf numFmtId="6" fontId="10" fillId="0" borderId="28" xfId="172" applyNumberFormat="1" applyFont="1" applyFill="1" applyBorder="1"/>
    <xf numFmtId="6" fontId="13" fillId="0" borderId="28" xfId="172" applyNumberFormat="1" applyFont="1" applyFill="1" applyBorder="1"/>
    <xf numFmtId="0" fontId="15" fillId="0" borderId="0" xfId="172" applyFont="1" applyFill="1"/>
    <xf numFmtId="0" fontId="18" fillId="0" borderId="0" xfId="0" applyNumberFormat="1" applyFont="1" applyAlignment="1">
      <alignment horizontal="center"/>
    </xf>
    <xf numFmtId="0" fontId="6" fillId="0" borderId="0" xfId="170" applyFont="1" applyFill="1"/>
    <xf numFmtId="172" fontId="18" fillId="0" borderId="0" xfId="0" applyFont="1" applyAlignment="1">
      <alignment horizontal="center"/>
    </xf>
    <xf numFmtId="172" fontId="18" fillId="0" borderId="4" xfId="0" applyFont="1" applyBorder="1" applyAlignment="1">
      <alignment horizontal="center"/>
    </xf>
    <xf numFmtId="0" fontId="10" fillId="0" borderId="0" xfId="172" applyFont="1" applyBorder="1" applyAlignment="1">
      <alignment horizontal="center"/>
    </xf>
    <xf numFmtId="172" fontId="14" fillId="0" borderId="0" xfId="0" applyFont="1" applyAlignment="1"/>
    <xf numFmtId="172" fontId="16" fillId="0" borderId="0" xfId="0" applyFont="1" applyBorder="1" applyAlignment="1"/>
    <xf numFmtId="172" fontId="5" fillId="0" borderId="0" xfId="0" applyFont="1" applyAlignment="1"/>
    <xf numFmtId="0" fontId="12" fillId="0" borderId="0" xfId="172" applyFont="1" applyFill="1"/>
    <xf numFmtId="173" fontId="16" fillId="0" borderId="0" xfId="105" applyNumberFormat="1" applyFont="1" applyFill="1"/>
    <xf numFmtId="6" fontId="10" fillId="0" borderId="0" xfId="172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2" fontId="1" fillId="0" borderId="0" xfId="0" applyFont="1" applyAlignment="1"/>
    <xf numFmtId="186" fontId="3" fillId="0" borderId="0" xfId="0" applyNumberFormat="1" applyFont="1" applyAlignment="1">
      <alignment horizontal="center"/>
    </xf>
    <xf numFmtId="173" fontId="3" fillId="0" borderId="6" xfId="105" applyNumberFormat="1" applyFont="1" applyFill="1" applyBorder="1" applyAlignment="1"/>
    <xf numFmtId="173" fontId="3" fillId="0" borderId="6" xfId="105" applyNumberFormat="1" applyFont="1" applyBorder="1" applyAlignment="1"/>
    <xf numFmtId="0" fontId="6" fillId="0" borderId="3" xfId="169" applyFont="1" applyBorder="1"/>
    <xf numFmtId="44" fontId="6" fillId="0" borderId="3" xfId="169" applyNumberFormat="1" applyFont="1" applyBorder="1"/>
    <xf numFmtId="170" fontId="6" fillId="0" borderId="3" xfId="178" applyNumberFormat="1" applyFont="1" applyBorder="1" applyAlignment="1">
      <alignment horizontal="right"/>
    </xf>
    <xf numFmtId="174" fontId="6" fillId="0" borderId="3" xfId="112" applyNumberFormat="1" applyFont="1" applyBorder="1"/>
    <xf numFmtId="175" fontId="17" fillId="0" borderId="0" xfId="169" applyNumberFormat="1" applyFont="1"/>
    <xf numFmtId="174" fontId="14" fillId="0" borderId="0" xfId="112" applyNumberFormat="1" applyFont="1" applyFill="1"/>
    <xf numFmtId="0" fontId="10" fillId="0" borderId="0" xfId="172" quotePrefix="1" applyFont="1" applyFill="1" applyAlignment="1">
      <alignment horizontal="left"/>
    </xf>
    <xf numFmtId="3" fontId="14" fillId="0" borderId="0" xfId="172" applyNumberFormat="1" applyFont="1" applyFill="1"/>
    <xf numFmtId="0" fontId="10" fillId="0" borderId="0" xfId="172" applyFont="1" applyFill="1" applyAlignment="1">
      <alignment horizontal="right"/>
    </xf>
    <xf numFmtId="177" fontId="14" fillId="0" borderId="0" xfId="112" applyNumberFormat="1" applyFont="1" applyFill="1" applyAlignment="1">
      <alignment horizontal="right"/>
    </xf>
    <xf numFmtId="174" fontId="48" fillId="0" borderId="0" xfId="169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2" fillId="0" borderId="0" xfId="0" applyFont="1" applyFill="1" applyAlignment="1"/>
    <xf numFmtId="0" fontId="18" fillId="0" borderId="0" xfId="168" applyFont="1" applyFill="1" applyAlignment="1">
      <alignment horizontal="left"/>
    </xf>
    <xf numFmtId="172" fontId="14" fillId="0" borderId="0" xfId="0" applyFont="1" applyFill="1" applyAlignment="1"/>
    <xf numFmtId="0" fontId="18" fillId="0" borderId="0" xfId="168" applyFont="1" applyFill="1"/>
    <xf numFmtId="16" fontId="18" fillId="0" borderId="0" xfId="168" applyNumberFormat="1" applyFont="1" applyFill="1" applyAlignment="1">
      <alignment horizontal="center"/>
    </xf>
    <xf numFmtId="172" fontId="22" fillId="0" borderId="0" xfId="0" applyFont="1" applyAlignment="1"/>
    <xf numFmtId="43" fontId="6" fillId="0" borderId="0" xfId="105"/>
    <xf numFmtId="165" fontId="3" fillId="30" borderId="0" xfId="0" applyNumberFormat="1" applyFont="1" applyFill="1" applyAlignment="1"/>
    <xf numFmtId="3" fontId="3" fillId="30" borderId="0" xfId="0" applyNumberFormat="1" applyFont="1" applyFill="1" applyAlignment="1"/>
    <xf numFmtId="185" fontId="3" fillId="30" borderId="0" xfId="0" applyNumberFormat="1" applyFont="1" applyFill="1" applyAlignment="1"/>
    <xf numFmtId="3" fontId="3" fillId="30" borderId="3" xfId="0" applyNumberFormat="1" applyFont="1" applyFill="1" applyBorder="1" applyAlignment="1"/>
    <xf numFmtId="164" fontId="3" fillId="30" borderId="0" xfId="0" applyNumberFormat="1" applyFont="1" applyFill="1" applyAlignment="1">
      <alignment horizontal="center"/>
    </xf>
    <xf numFmtId="173" fontId="3" fillId="30" borderId="0" xfId="105" applyNumberFormat="1" applyFont="1" applyFill="1" applyAlignment="1"/>
    <xf numFmtId="172" fontId="3" fillId="30" borderId="0" xfId="0" applyFont="1" applyFill="1" applyAlignment="1"/>
    <xf numFmtId="165" fontId="3" fillId="30" borderId="0" xfId="0" applyNumberFormat="1" applyFont="1" applyFill="1" applyAlignment="1">
      <alignment horizontal="right"/>
    </xf>
    <xf numFmtId="173" fontId="3" fillId="30" borderId="0" xfId="105" applyNumberFormat="1" applyFont="1" applyFill="1" applyBorder="1" applyAlignment="1"/>
    <xf numFmtId="173" fontId="3" fillId="30" borderId="3" xfId="105" applyNumberFormat="1" applyFont="1" applyFill="1" applyBorder="1" applyAlignment="1"/>
    <xf numFmtId="0" fontId="3" fillId="30" borderId="0" xfId="0" applyNumberFormat="1" applyFont="1" applyFill="1"/>
    <xf numFmtId="3" fontId="3" fillId="30" borderId="0" xfId="0" applyNumberFormat="1" applyFont="1" applyFill="1" applyAlignment="1">
      <alignment horizontal="center"/>
    </xf>
    <xf numFmtId="171" fontId="3" fillId="30" borderId="0" xfId="0" applyNumberFormat="1" applyFont="1" applyFill="1" applyAlignment="1">
      <alignment horizontal="left"/>
    </xf>
    <xf numFmtId="3" fontId="3" fillId="30" borderId="0" xfId="0" applyNumberFormat="1" applyFont="1" applyFill="1" applyBorder="1" applyAlignment="1"/>
    <xf numFmtId="166" fontId="3" fillId="30" borderId="0" xfId="0" applyNumberFormat="1" applyFont="1" applyFill="1" applyAlignment="1"/>
    <xf numFmtId="0" fontId="3" fillId="30" borderId="0" xfId="0" applyNumberFormat="1" applyFont="1" applyFill="1" applyAlignment="1" applyProtection="1">
      <alignment horizontal="center"/>
      <protection locked="0"/>
    </xf>
    <xf numFmtId="164" fontId="3" fillId="30" borderId="0" xfId="0" applyNumberFormat="1" applyFont="1" applyFill="1" applyAlignment="1" applyProtection="1">
      <alignment horizontal="left"/>
      <protection locked="0"/>
    </xf>
    <xf numFmtId="166" fontId="3" fillId="30" borderId="0" xfId="0" applyNumberFormat="1" applyFont="1" applyFill="1" applyAlignment="1">
      <alignment horizontal="center"/>
    </xf>
    <xf numFmtId="172" fontId="0" fillId="30" borderId="0" xfId="0" applyFill="1" applyAlignment="1"/>
    <xf numFmtId="0" fontId="3" fillId="30" borderId="0" xfId="0" applyNumberFormat="1" applyFont="1" applyFill="1" applyAlignment="1"/>
    <xf numFmtId="3" fontId="3" fillId="30" borderId="29" xfId="0" applyNumberFormat="1" applyFont="1" applyFill="1" applyBorder="1" applyAlignment="1"/>
    <xf numFmtId="3" fontId="3" fillId="30" borderId="4" xfId="0" applyNumberFormat="1" applyFont="1" applyFill="1" applyBorder="1" applyAlignment="1"/>
    <xf numFmtId="172" fontId="3" fillId="30" borderId="0" xfId="0" applyFont="1" applyFill="1" applyAlignment="1">
      <alignment horizontal="right"/>
    </xf>
    <xf numFmtId="0" fontId="5" fillId="30" borderId="0" xfId="0" applyNumberFormat="1" applyFont="1" applyFill="1" applyAlignment="1"/>
    <xf numFmtId="0" fontId="3" fillId="30" borderId="3" xfId="0" applyNumberFormat="1" applyFont="1" applyFill="1" applyBorder="1" applyAlignment="1" applyProtection="1">
      <alignment horizontal="center"/>
      <protection locked="0"/>
    </xf>
    <xf numFmtId="0" fontId="3" fillId="30" borderId="0" xfId="0" applyNumberFormat="1" applyFont="1" applyFill="1" applyAlignment="1" applyProtection="1">
      <protection locked="0"/>
    </xf>
    <xf numFmtId="0" fontId="3" fillId="30" borderId="0" xfId="0" applyNumberFormat="1" applyFont="1" applyFill="1" applyProtection="1">
      <protection locked="0"/>
    </xf>
    <xf numFmtId="0" fontId="3" fillId="30" borderId="3" xfId="0" applyNumberFormat="1" applyFont="1" applyFill="1" applyBorder="1" applyProtection="1">
      <protection locked="0"/>
    </xf>
    <xf numFmtId="0" fontId="3" fillId="30" borderId="3" xfId="0" applyNumberFormat="1" applyFont="1" applyFill="1" applyBorder="1"/>
    <xf numFmtId="3" fontId="3" fillId="30" borderId="6" xfId="0" applyNumberFormat="1" applyFont="1" applyFill="1" applyBorder="1" applyAlignment="1"/>
    <xf numFmtId="49" fontId="3" fillId="30" borderId="0" xfId="0" applyNumberFormat="1" applyFont="1" applyFill="1"/>
    <xf numFmtId="49" fontId="3" fillId="30" borderId="0" xfId="0" applyNumberFormat="1" applyFont="1" applyFill="1" applyAlignment="1"/>
    <xf numFmtId="49" fontId="3" fillId="30" borderId="0" xfId="0" applyNumberFormat="1" applyFont="1" applyFill="1" applyAlignment="1">
      <alignment horizontal="center"/>
    </xf>
    <xf numFmtId="185" fontId="3" fillId="30" borderId="0" xfId="0" applyNumberFormat="1" applyFont="1" applyFill="1" applyAlignment="1">
      <alignment horizontal="right"/>
    </xf>
    <xf numFmtId="172" fontId="3" fillId="30" borderId="6" xfId="0" applyFont="1" applyFill="1" applyBorder="1" applyAlignment="1"/>
    <xf numFmtId="0" fontId="3" fillId="30" borderId="6" xfId="0" applyNumberFormat="1" applyFont="1" applyFill="1" applyBorder="1"/>
    <xf numFmtId="0" fontId="3" fillId="30" borderId="0" xfId="0" applyNumberFormat="1" applyFont="1" applyFill="1" applyBorder="1"/>
    <xf numFmtId="0" fontId="3" fillId="30" borderId="6" xfId="0" applyNumberFormat="1" applyFont="1" applyFill="1" applyBorder="1" applyProtection="1">
      <protection locked="0"/>
    </xf>
    <xf numFmtId="3" fontId="3" fillId="30" borderId="3" xfId="0" applyNumberFormat="1" applyFont="1" applyFill="1" applyBorder="1" applyAlignment="1">
      <alignment horizontal="center"/>
    </xf>
    <xf numFmtId="3" fontId="3" fillId="30" borderId="0" xfId="0" applyNumberFormat="1" applyFont="1" applyFill="1" applyBorder="1" applyAlignment="1">
      <alignment horizontal="center"/>
    </xf>
    <xf numFmtId="4" fontId="3" fillId="30" borderId="0" xfId="0" applyNumberFormat="1" applyFont="1" applyFill="1" applyAlignment="1"/>
    <xf numFmtId="6" fontId="3" fillId="30" borderId="0" xfId="172" applyNumberFormat="1" applyFont="1" applyFill="1" applyBorder="1"/>
    <xf numFmtId="3" fontId="3" fillId="30" borderId="4" xfId="0" applyNumberFormat="1" applyFont="1" applyFill="1" applyBorder="1" applyAlignment="1">
      <alignment horizontal="center"/>
    </xf>
    <xf numFmtId="10" fontId="3" fillId="30" borderId="0" xfId="178" applyNumberFormat="1" applyFont="1" applyFill="1" applyAlignment="1"/>
    <xf numFmtId="9" fontId="3" fillId="30" borderId="0" xfId="178" applyFont="1" applyFill="1" applyAlignment="1"/>
    <xf numFmtId="10" fontId="3" fillId="30" borderId="0" xfId="178" applyNumberFormat="1" applyFont="1" applyFill="1" applyAlignment="1" applyProtection="1">
      <alignment horizontal="left"/>
      <protection locked="0"/>
    </xf>
    <xf numFmtId="166" fontId="3" fillId="30" borderId="0" xfId="0" applyNumberFormat="1" applyFont="1" applyFill="1" applyAlignment="1" applyProtection="1">
      <alignment horizontal="center"/>
      <protection locked="0"/>
    </xf>
    <xf numFmtId="9" fontId="3" fillId="30" borderId="6" xfId="178" applyFont="1" applyFill="1" applyBorder="1" applyAlignment="1"/>
    <xf numFmtId="10" fontId="3" fillId="30" borderId="0" xfId="178" applyNumberFormat="1" applyFont="1" applyFill="1"/>
    <xf numFmtId="0" fontId="43" fillId="30" borderId="0" xfId="0" applyNumberFormat="1" applyFont="1" applyFill="1"/>
    <xf numFmtId="0" fontId="3" fillId="30" borderId="4" xfId="0" applyNumberFormat="1" applyFont="1" applyFill="1" applyBorder="1" applyAlignment="1"/>
    <xf numFmtId="172" fontId="43" fillId="30" borderId="0" xfId="0" applyFont="1" applyFill="1" applyAlignment="1"/>
    <xf numFmtId="0" fontId="3" fillId="30" borderId="0" xfId="0" quotePrefix="1" applyNumberFormat="1" applyFont="1" applyFill="1"/>
    <xf numFmtId="10" fontId="3" fillId="30" borderId="0" xfId="0" applyNumberFormat="1" applyFont="1" applyFill="1" applyAlignment="1"/>
    <xf numFmtId="168" fontId="3" fillId="30" borderId="0" xfId="0" applyNumberFormat="1" applyFont="1" applyFill="1" applyAlignment="1"/>
    <xf numFmtId="3" fontId="3" fillId="30" borderId="0" xfId="0" quotePrefix="1" applyNumberFormat="1" applyFont="1" applyFill="1" applyAlignment="1"/>
    <xf numFmtId="172" fontId="3" fillId="30" borderId="0" xfId="0" applyFont="1" applyFill="1" applyAlignment="1">
      <alignment horizontal="left"/>
    </xf>
    <xf numFmtId="10" fontId="3" fillId="30" borderId="3" xfId="178" applyNumberFormat="1" applyFont="1" applyFill="1" applyBorder="1" applyAlignment="1"/>
    <xf numFmtId="172" fontId="3" fillId="30" borderId="0" xfId="0" applyNumberFormat="1" applyFont="1" applyFill="1" applyAlignment="1" applyProtection="1">
      <protection locked="0"/>
    </xf>
    <xf numFmtId="169" fontId="3" fillId="30" borderId="0" xfId="0" applyNumberFormat="1" applyFont="1" applyFill="1" applyProtection="1">
      <protection locked="0"/>
    </xf>
    <xf numFmtId="172" fontId="3" fillId="30" borderId="0" xfId="0" applyFont="1" applyFill="1" applyAlignment="1" applyProtection="1"/>
    <xf numFmtId="10" fontId="3" fillId="30" borderId="0" xfId="0" applyNumberFormat="1" applyFont="1" applyFill="1" applyProtection="1">
      <protection locked="0"/>
    </xf>
    <xf numFmtId="172" fontId="3" fillId="30" borderId="0" xfId="0" applyFont="1" applyFill="1" applyAlignment="1">
      <alignment horizontal="center"/>
    </xf>
    <xf numFmtId="172" fontId="0" fillId="30" borderId="0" xfId="0" applyFill="1" applyAlignment="1">
      <alignment horizontal="center"/>
    </xf>
    <xf numFmtId="0" fontId="6" fillId="30" borderId="24" xfId="167" applyFill="1" applyBorder="1" applyAlignment="1">
      <alignment horizontal="center"/>
    </xf>
    <xf numFmtId="0" fontId="6" fillId="30" borderId="25" xfId="167" applyFill="1" applyBorder="1" applyAlignment="1">
      <alignment horizontal="center"/>
    </xf>
    <xf numFmtId="0" fontId="6" fillId="30" borderId="26" xfId="167" applyFill="1" applyBorder="1" applyAlignment="1">
      <alignment horizontal="center"/>
    </xf>
    <xf numFmtId="172" fontId="6" fillId="0" borderId="0" xfId="0" applyFont="1" applyFill="1" applyAlignment="1"/>
    <xf numFmtId="0" fontId="6" fillId="0" borderId="0" xfId="168" applyFont="1" applyFill="1" applyAlignment="1">
      <alignment horizontal="left"/>
    </xf>
    <xf numFmtId="0" fontId="6" fillId="0" borderId="3" xfId="169" applyFont="1" applyFill="1" applyBorder="1" applyAlignment="1">
      <alignment horizontal="center" wrapText="1"/>
    </xf>
    <xf numFmtId="0" fontId="6" fillId="0" borderId="30" xfId="169" applyBorder="1"/>
    <xf numFmtId="0" fontId="6" fillId="0" borderId="6" xfId="169" applyBorder="1"/>
    <xf numFmtId="0" fontId="6" fillId="0" borderId="31" xfId="169" applyBorder="1"/>
    <xf numFmtId="0" fontId="6" fillId="0" borderId="32" xfId="169" applyBorder="1"/>
    <xf numFmtId="0" fontId="6" fillId="0" borderId="0" xfId="169" applyBorder="1"/>
    <xf numFmtId="0" fontId="6" fillId="0" borderId="33" xfId="169" applyBorder="1"/>
    <xf numFmtId="0" fontId="6" fillId="0" borderId="34" xfId="169" applyBorder="1"/>
    <xf numFmtId="0" fontId="6" fillId="0" borderId="4" xfId="169" applyBorder="1"/>
    <xf numFmtId="0" fontId="6" fillId="0" borderId="35" xfId="169" applyBorder="1"/>
    <xf numFmtId="0" fontId="5" fillId="30" borderId="0" xfId="0" applyNumberFormat="1" applyFont="1" applyFill="1" applyAlignment="1">
      <alignment horizontal="center"/>
    </xf>
    <xf numFmtId="0" fontId="5" fillId="30" borderId="0" xfId="0" applyNumberFormat="1" applyFont="1" applyFill="1" applyAlignment="1" applyProtection="1">
      <alignment horizontal="center"/>
      <protection locked="0"/>
    </xf>
    <xf numFmtId="3" fontId="5" fillId="30" borderId="0" xfId="0" applyNumberFormat="1" applyFont="1" applyFill="1" applyAlignment="1">
      <alignment horizontal="center"/>
    </xf>
    <xf numFmtId="0" fontId="6" fillId="0" borderId="3" xfId="169" applyFont="1" applyBorder="1" applyAlignment="1">
      <alignment horizontal="center"/>
    </xf>
    <xf numFmtId="0" fontId="6" fillId="0" borderId="0" xfId="169" applyFont="1" applyAlignment="1">
      <alignment horizontal="center"/>
    </xf>
    <xf numFmtId="0" fontId="6" fillId="0" borderId="0" xfId="169" applyFont="1" applyAlignment="1">
      <alignment horizontal="center" wrapText="1"/>
    </xf>
    <xf numFmtId="170" fontId="6" fillId="0" borderId="0" xfId="178" applyNumberFormat="1" applyFont="1" applyAlignment="1">
      <alignment horizontal="right"/>
    </xf>
    <xf numFmtId="174" fontId="6" fillId="0" borderId="0" xfId="112" applyNumberFormat="1" applyFont="1"/>
    <xf numFmtId="9" fontId="6" fillId="0" borderId="0" xfId="178" applyFont="1" applyAlignment="1">
      <alignment horizontal="right"/>
    </xf>
    <xf numFmtId="174" fontId="6" fillId="0" borderId="0" xfId="169" applyNumberFormat="1" applyFont="1"/>
    <xf numFmtId="43" fontId="6" fillId="0" borderId="0" xfId="169" applyNumberFormat="1" applyFont="1" applyFill="1"/>
    <xf numFmtId="173" fontId="6" fillId="0" borderId="0" xfId="169" applyNumberFormat="1" applyFont="1" applyFill="1"/>
    <xf numFmtId="173" fontId="6" fillId="0" borderId="3" xfId="169" applyNumberFormat="1" applyFont="1" applyFill="1" applyBorder="1"/>
    <xf numFmtId="43" fontId="6" fillId="0" borderId="3" xfId="169" applyNumberFormat="1" applyFont="1" applyFill="1" applyBorder="1"/>
    <xf numFmtId="49" fontId="3" fillId="30" borderId="3" xfId="0" applyNumberFormat="1" applyFont="1" applyFill="1" applyBorder="1" applyAlignment="1">
      <alignment horizontal="center"/>
    </xf>
    <xf numFmtId="172" fontId="5" fillId="30" borderId="0" xfId="0" applyFont="1" applyFill="1" applyAlignment="1"/>
    <xf numFmtId="0" fontId="3" fillId="30" borderId="0" xfId="0" applyNumberFormat="1" applyFont="1" applyFill="1" applyAlignment="1">
      <alignment horizontal="center"/>
    </xf>
    <xf numFmtId="49" fontId="3" fillId="30" borderId="0" xfId="0" applyNumberFormat="1" applyFont="1" applyFill="1" applyAlignment="1">
      <alignment horizontal="left"/>
    </xf>
    <xf numFmtId="3" fontId="5" fillId="30" borderId="0" xfId="0" applyNumberFormat="1" applyFont="1" applyFill="1" applyAlignment="1">
      <alignment horizontal="left"/>
    </xf>
    <xf numFmtId="172" fontId="5" fillId="30" borderId="0" xfId="0" applyFont="1" applyFill="1" applyAlignment="1">
      <alignment horizontal="center"/>
    </xf>
    <xf numFmtId="3" fontId="5" fillId="30" borderId="0" xfId="0" applyNumberFormat="1" applyFont="1" applyFill="1" applyAlignment="1"/>
    <xf numFmtId="0" fontId="5" fillId="30" borderId="0" xfId="0" applyNumberFormat="1" applyFont="1" applyFill="1" applyAlignment="1" applyProtection="1">
      <alignment horizontal="left"/>
      <protection locked="0"/>
    </xf>
    <xf numFmtId="172" fontId="3" fillId="30" borderId="0" xfId="0" applyFont="1" applyFill="1" applyBorder="1" applyAlignment="1"/>
    <xf numFmtId="172" fontId="3" fillId="30" borderId="3" xfId="0" applyFont="1" applyFill="1" applyBorder="1" applyAlignment="1"/>
    <xf numFmtId="3" fontId="3" fillId="30" borderId="36" xfId="0" applyNumberFormat="1" applyFont="1" applyFill="1" applyBorder="1" applyAlignment="1"/>
    <xf numFmtId="0" fontId="4" fillId="30" borderId="0" xfId="0" applyNumberFormat="1" applyFont="1" applyFill="1" applyAlignment="1">
      <alignment horizontal="center"/>
    </xf>
    <xf numFmtId="3" fontId="4" fillId="30" borderId="0" xfId="0" applyNumberFormat="1" applyFont="1" applyFill="1" applyAlignment="1"/>
    <xf numFmtId="166" fontId="3" fillId="30" borderId="0" xfId="0" applyNumberFormat="1" applyFont="1" applyFill="1" applyAlignment="1">
      <alignment horizontal="right"/>
    </xf>
    <xf numFmtId="164" fontId="3" fillId="30" borderId="0" xfId="0" applyNumberFormat="1" applyFont="1" applyFill="1" applyAlignment="1">
      <alignment horizontal="left"/>
    </xf>
    <xf numFmtId="10" fontId="3" fillId="30" borderId="0" xfId="0" applyNumberFormat="1" applyFont="1" applyFill="1" applyAlignment="1">
      <alignment horizontal="right"/>
    </xf>
    <xf numFmtId="168" fontId="3" fillId="30" borderId="0" xfId="0" applyNumberFormat="1" applyFont="1" applyFill="1" applyAlignment="1">
      <alignment horizontal="right"/>
    </xf>
    <xf numFmtId="3" fontId="3" fillId="30" borderId="0" xfId="0" applyNumberFormat="1" applyFont="1" applyFill="1" applyAlignment="1">
      <alignment horizontal="right"/>
    </xf>
    <xf numFmtId="172" fontId="3" fillId="30" borderId="0" xfId="0" quotePrefix="1" applyFont="1" applyFill="1" applyAlignment="1"/>
    <xf numFmtId="167" fontId="3" fillId="30" borderId="0" xfId="0" applyNumberFormat="1" applyFont="1" applyFill="1" applyAlignment="1"/>
    <xf numFmtId="0" fontId="6" fillId="30" borderId="20" xfId="167" applyFill="1" applyBorder="1" applyAlignment="1">
      <alignment horizontal="center"/>
    </xf>
    <xf numFmtId="0" fontId="6" fillId="30" borderId="0" xfId="167" applyFill="1" applyBorder="1" applyAlignment="1">
      <alignment horizontal="center"/>
    </xf>
    <xf numFmtId="0" fontId="6" fillId="30" borderId="0" xfId="167" applyFill="1"/>
    <xf numFmtId="0" fontId="6" fillId="30" borderId="24" xfId="167" applyFont="1" applyFill="1" applyBorder="1" applyAlignment="1">
      <alignment horizontal="center"/>
    </xf>
    <xf numFmtId="0" fontId="6" fillId="30" borderId="25" xfId="167" applyFont="1" applyFill="1" applyBorder="1" applyAlignment="1">
      <alignment horizontal="center"/>
    </xf>
    <xf numFmtId="0" fontId="6" fillId="30" borderId="3" xfId="167" applyFill="1" applyBorder="1" applyAlignment="1">
      <alignment horizontal="center"/>
    </xf>
    <xf numFmtId="0" fontId="6" fillId="30" borderId="26" xfId="167" applyFont="1" applyFill="1" applyBorder="1" applyAlignment="1">
      <alignment horizontal="center"/>
    </xf>
    <xf numFmtId="10" fontId="6" fillId="0" borderId="0" xfId="170" applyNumberFormat="1" applyFont="1"/>
    <xf numFmtId="1" fontId="6" fillId="0" borderId="0" xfId="167" applyNumberFormat="1" applyFill="1" applyBorder="1" applyAlignment="1">
      <alignment horizontal="center"/>
    </xf>
    <xf numFmtId="43" fontId="14" fillId="0" borderId="0" xfId="105" applyFont="1" applyFill="1" applyAlignment="1"/>
    <xf numFmtId="172" fontId="12" fillId="0" borderId="0" xfId="0" applyFont="1" applyAlignment="1"/>
    <xf numFmtId="43" fontId="14" fillId="0" borderId="0" xfId="105" applyNumberFormat="1" applyFont="1" applyAlignment="1"/>
    <xf numFmtId="7" fontId="14" fillId="0" borderId="6" xfId="0" applyNumberFormat="1" applyFont="1" applyBorder="1" applyAlignment="1"/>
    <xf numFmtId="3" fontId="47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72" fontId="0" fillId="0" borderId="0" xfId="0" applyFill="1" applyAlignment="1"/>
    <xf numFmtId="3" fontId="3" fillId="30" borderId="0" xfId="0" applyNumberFormat="1" applyFont="1" applyFill="1" applyAlignment="1"/>
    <xf numFmtId="172" fontId="0" fillId="30" borderId="0" xfId="0" applyFill="1" applyAlignment="1">
      <alignment horizontal="right"/>
    </xf>
    <xf numFmtId="172" fontId="3" fillId="0" borderId="0" xfId="0" applyFont="1" applyAlignment="1">
      <alignment horizontal="right"/>
    </xf>
    <xf numFmtId="172" fontId="1" fillId="0" borderId="0" xfId="0" applyFont="1" applyAlignment="1">
      <alignment horizontal="right"/>
    </xf>
    <xf numFmtId="0" fontId="6" fillId="0" borderId="0" xfId="169" applyAlignment="1">
      <alignment horizontal="right"/>
    </xf>
    <xf numFmtId="3" fontId="3" fillId="30" borderId="0" xfId="0" applyNumberFormat="1" applyFont="1" applyFill="1" applyAlignment="1"/>
    <xf numFmtId="1" fontId="6" fillId="0" borderId="24" xfId="167" applyNumberFormat="1" applyFill="1" applyBorder="1" applyAlignment="1">
      <alignment horizontal="center"/>
    </xf>
    <xf numFmtId="1" fontId="6" fillId="0" borderId="25" xfId="167" applyNumberFormat="1" applyFill="1" applyBorder="1" applyAlignment="1">
      <alignment horizontal="center"/>
    </xf>
    <xf numFmtId="1" fontId="6" fillId="0" borderId="26" xfId="167" applyNumberFormat="1" applyFill="1" applyBorder="1" applyAlignment="1">
      <alignment horizontal="center"/>
    </xf>
    <xf numFmtId="0" fontId="6" fillId="0" borderId="24" xfId="167" applyFill="1" applyBorder="1"/>
    <xf numFmtId="0" fontId="6" fillId="0" borderId="0" xfId="170" applyFill="1" applyAlignment="1">
      <alignment horizontal="center"/>
    </xf>
    <xf numFmtId="172" fontId="6" fillId="0" borderId="0" xfId="0" applyFont="1" applyFill="1" applyAlignment="1">
      <alignment horizontal="right"/>
    </xf>
    <xf numFmtId="44" fontId="6" fillId="0" borderId="0" xfId="170" applyNumberFormat="1" applyAlignment="1">
      <alignment horizontal="center"/>
    </xf>
    <xf numFmtId="208" fontId="0" fillId="30" borderId="0" xfId="0" applyNumberFormat="1" applyFill="1" applyAlignment="1">
      <alignment horizontal="right"/>
    </xf>
    <xf numFmtId="208" fontId="3" fillId="30" borderId="0" xfId="0" applyNumberFormat="1" applyFont="1" applyFill="1" applyAlignment="1">
      <alignment horizontal="right"/>
    </xf>
    <xf numFmtId="208" fontId="3" fillId="30" borderId="0" xfId="0" applyNumberFormat="1" applyFont="1" applyFill="1" applyBorder="1" applyAlignment="1">
      <alignment horizontal="right"/>
    </xf>
    <xf numFmtId="208" fontId="3" fillId="30" borderId="0" xfId="178" applyNumberFormat="1" applyFont="1" applyFill="1" applyAlignment="1">
      <alignment horizontal="right"/>
    </xf>
    <xf numFmtId="172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208" fontId="6" fillId="0" borderId="0" xfId="0" applyNumberFormat="1" applyFont="1" applyAlignment="1">
      <alignment horizontal="right"/>
    </xf>
    <xf numFmtId="0" fontId="6" fillId="0" borderId="0" xfId="168" applyFont="1" applyFill="1" applyAlignment="1">
      <alignment horizontal="center"/>
    </xf>
    <xf numFmtId="172" fontId="0" fillId="0" borderId="0" xfId="0" applyFont="1" applyAlignment="1"/>
    <xf numFmtId="3" fontId="10" fillId="0" borderId="0" xfId="172" applyNumberFormat="1" applyFont="1" applyFill="1"/>
    <xf numFmtId="10" fontId="6" fillId="0" borderId="0" xfId="178" applyNumberFormat="1" applyFill="1"/>
    <xf numFmtId="3" fontId="3" fillId="0" borderId="0" xfId="0" applyNumberFormat="1" applyFont="1" applyFill="1" applyAlignment="1">
      <alignment horizontal="right"/>
    </xf>
    <xf numFmtId="173" fontId="2" fillId="0" borderId="0" xfId="105" applyNumberFormat="1" applyFont="1" applyAlignment="1"/>
    <xf numFmtId="173" fontId="0" fillId="0" borderId="0" xfId="105" applyNumberFormat="1" applyFont="1" applyAlignment="1"/>
    <xf numFmtId="3" fontId="3" fillId="0" borderId="0" xfId="0" applyNumberFormat="1" applyFont="1" applyFill="1" applyAlignment="1">
      <alignment horizontal="left"/>
    </xf>
    <xf numFmtId="184" fontId="18" fillId="0" borderId="0" xfId="178" applyNumberFormat="1" applyFont="1" applyFill="1" applyAlignment="1"/>
    <xf numFmtId="10" fontId="3" fillId="0" borderId="0" xfId="0" applyNumberFormat="1" applyFont="1" applyFill="1" applyAlignment="1"/>
    <xf numFmtId="10" fontId="3" fillId="0" borderId="0" xfId="178" applyNumberFormat="1" applyFont="1" applyFill="1" applyAlignment="1"/>
    <xf numFmtId="0" fontId="14" fillId="0" borderId="0" xfId="169" applyFont="1" applyFill="1"/>
    <xf numFmtId="176" fontId="6" fillId="0" borderId="0" xfId="169" applyNumberFormat="1" applyFill="1"/>
    <xf numFmtId="42" fontId="6" fillId="0" borderId="0" xfId="169" applyNumberFormat="1" applyFill="1"/>
    <xf numFmtId="42" fontId="6" fillId="0" borderId="3" xfId="169" applyNumberFormat="1" applyFill="1" applyBorder="1"/>
    <xf numFmtId="0" fontId="6" fillId="0" borderId="19" xfId="167" applyFill="1" applyBorder="1" applyAlignment="1">
      <alignment horizontal="center"/>
    </xf>
    <xf numFmtId="0" fontId="6" fillId="0" borderId="37" xfId="167" applyFill="1" applyBorder="1" applyAlignment="1">
      <alignment horizontal="center"/>
    </xf>
    <xf numFmtId="0" fontId="6" fillId="0" borderId="21" xfId="167" applyFill="1" applyBorder="1" applyAlignment="1">
      <alignment horizontal="center"/>
    </xf>
    <xf numFmtId="0" fontId="6" fillId="0" borderId="38" xfId="167" applyFill="1" applyBorder="1" applyAlignment="1">
      <alignment horizontal="center"/>
    </xf>
    <xf numFmtId="0" fontId="6" fillId="0" borderId="22" xfId="167" applyFill="1" applyBorder="1" applyAlignment="1">
      <alignment horizontal="center"/>
    </xf>
    <xf numFmtId="0" fontId="6" fillId="0" borderId="39" xfId="167" applyFill="1" applyBorder="1" applyAlignment="1">
      <alignment horizontal="center"/>
    </xf>
    <xf numFmtId="3" fontId="97" fillId="0" borderId="0" xfId="0" applyNumberFormat="1" applyFont="1" applyFill="1" applyAlignment="1">
      <alignment horizontal="center"/>
    </xf>
    <xf numFmtId="172" fontId="1" fillId="0" borderId="0" xfId="0" applyFont="1" applyFill="1" applyAlignment="1"/>
    <xf numFmtId="172" fontId="98" fillId="31" borderId="42" xfId="0" applyFont="1" applyFill="1" applyBorder="1"/>
    <xf numFmtId="14" fontId="98" fillId="31" borderId="42" xfId="0" applyNumberFormat="1" applyFont="1" applyFill="1" applyBorder="1"/>
    <xf numFmtId="172" fontId="98" fillId="0" borderId="42" xfId="0" applyFont="1" applyBorder="1" applyAlignment="1">
      <alignment horizontal="left"/>
    </xf>
    <xf numFmtId="0" fontId="98" fillId="0" borderId="42" xfId="0" applyNumberFormat="1" applyFont="1" applyBorder="1"/>
    <xf numFmtId="172" fontId="0" fillId="0" borderId="0" xfId="0" applyAlignment="1">
      <alignment horizontal="left" indent="1"/>
    </xf>
    <xf numFmtId="0" fontId="0" fillId="0" borderId="0" xfId="0" applyNumberFormat="1"/>
    <xf numFmtId="44" fontId="0" fillId="0" borderId="0" xfId="112" applyFont="1"/>
    <xf numFmtId="0" fontId="3" fillId="0" borderId="0" xfId="105" applyNumberFormat="1" applyFont="1" applyFill="1" applyAlignment="1"/>
    <xf numFmtId="3" fontId="3" fillId="0" borderId="10" xfId="0" applyNumberFormat="1" applyFont="1" applyFill="1" applyBorder="1" applyAlignment="1"/>
    <xf numFmtId="3" fontId="3" fillId="0" borderId="0" xfId="162" applyNumberFormat="1" applyFont="1" applyFill="1" applyAlignment="1"/>
    <xf numFmtId="3" fontId="3" fillId="0" borderId="6" xfId="0" applyNumberFormat="1" applyFont="1" applyFill="1" applyBorder="1" applyAlignment="1"/>
    <xf numFmtId="173" fontId="3" fillId="0" borderId="3" xfId="105" applyNumberFormat="1" applyFont="1" applyFill="1" applyBorder="1" applyAlignment="1"/>
    <xf numFmtId="174" fontId="6" fillId="0" borderId="0" xfId="112" applyNumberFormat="1" applyFont="1" applyFill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173" fontId="3" fillId="0" borderId="4" xfId="105" applyNumberFormat="1" applyFont="1" applyFill="1" applyBorder="1" applyAlignment="1"/>
    <xf numFmtId="172" fontId="0" fillId="0" borderId="0" xfId="0" applyFill="1" applyAlignment="1">
      <alignment horizontal="left" indent="1"/>
    </xf>
    <xf numFmtId="0" fontId="95" fillId="0" borderId="0" xfId="0" applyNumberFormat="1" applyFont="1" applyFill="1" applyAlignment="1">
      <alignment horizontal="left" indent="1"/>
    </xf>
    <xf numFmtId="0" fontId="0" fillId="0" borderId="0" xfId="0" applyNumberFormat="1" applyFill="1"/>
    <xf numFmtId="172" fontId="98" fillId="0" borderId="42" xfId="0" applyFont="1" applyFill="1" applyBorder="1" applyAlignment="1">
      <alignment horizontal="left"/>
    </xf>
    <xf numFmtId="0" fontId="98" fillId="0" borderId="42" xfId="0" applyNumberFormat="1" applyFont="1" applyFill="1" applyBorder="1" applyAlignment="1">
      <alignment horizontal="left"/>
    </xf>
    <xf numFmtId="0" fontId="98" fillId="0" borderId="42" xfId="0" applyNumberFormat="1" applyFont="1" applyFill="1" applyBorder="1"/>
    <xf numFmtId="43" fontId="3" fillId="0" borderId="4" xfId="105" applyNumberFormat="1" applyFont="1" applyFill="1" applyBorder="1" applyAlignment="1"/>
    <xf numFmtId="3" fontId="3" fillId="32" borderId="0" xfId="0" applyNumberFormat="1" applyFont="1" applyFill="1" applyAlignment="1"/>
    <xf numFmtId="173" fontId="3" fillId="32" borderId="0" xfId="105" applyNumberFormat="1" applyFont="1" applyFill="1" applyAlignment="1"/>
    <xf numFmtId="173" fontId="3" fillId="32" borderId="3" xfId="105" applyNumberFormat="1" applyFont="1" applyFill="1" applyBorder="1" applyAlignment="1"/>
    <xf numFmtId="172" fontId="0" fillId="0" borderId="0" xfId="0"/>
    <xf numFmtId="3" fontId="3" fillId="0" borderId="0" xfId="0" applyNumberFormat="1" applyFont="1"/>
    <xf numFmtId="173" fontId="3" fillId="0" borderId="0" xfId="105" applyNumberFormat="1" applyFont="1"/>
    <xf numFmtId="173" fontId="3" fillId="0" borderId="0" xfId="105" applyNumberFormat="1" applyFont="1" applyAlignment="1">
      <alignment horizontal="center"/>
    </xf>
    <xf numFmtId="173" fontId="3" fillId="0" borderId="6" xfId="105" applyNumberFormat="1" applyFont="1" applyBorder="1"/>
    <xf numFmtId="172" fontId="95" fillId="0" borderId="0" xfId="0" applyFont="1"/>
    <xf numFmtId="173" fontId="0" fillId="0" borderId="0" xfId="105" applyNumberFormat="1" applyFont="1"/>
    <xf numFmtId="3" fontId="3" fillId="32" borderId="0" xfId="0" applyNumberFormat="1" applyFont="1" applyFill="1"/>
    <xf numFmtId="0" fontId="14" fillId="0" borderId="0" xfId="169" applyFont="1" applyAlignment="1">
      <alignment horizontal="center"/>
    </xf>
    <xf numFmtId="0" fontId="5" fillId="30" borderId="0" xfId="0" applyNumberFormat="1" applyFont="1" applyFill="1" applyAlignment="1" applyProtection="1">
      <alignment horizontal="center"/>
      <protection locked="0"/>
    </xf>
    <xf numFmtId="3" fontId="5" fillId="30" borderId="0" xfId="0" applyNumberFormat="1" applyFont="1" applyFill="1" applyAlignment="1">
      <alignment horizontal="center"/>
    </xf>
    <xf numFmtId="49" fontId="5" fillId="30" borderId="0" xfId="0" applyNumberFormat="1" applyFont="1" applyFill="1" applyAlignment="1">
      <alignment horizontal="center"/>
    </xf>
    <xf numFmtId="0" fontId="5" fillId="30" borderId="0" xfId="0" applyNumberFormat="1" applyFont="1" applyFill="1" applyAlignment="1">
      <alignment horizontal="center"/>
    </xf>
    <xf numFmtId="172" fontId="5" fillId="0" borderId="0" xfId="0" applyFont="1" applyAlignment="1">
      <alignment horizontal="center"/>
    </xf>
    <xf numFmtId="0" fontId="14" fillId="0" borderId="0" xfId="170" applyFont="1" applyAlignment="1">
      <alignment horizontal="center"/>
    </xf>
    <xf numFmtId="172" fontId="0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40" xfId="169" applyFont="1" applyFill="1" applyBorder="1" applyAlignment="1">
      <alignment horizontal="center"/>
    </xf>
    <xf numFmtId="0" fontId="5" fillId="0" borderId="10" xfId="169" applyFont="1" applyFill="1" applyBorder="1" applyAlignment="1">
      <alignment horizontal="center"/>
    </xf>
    <xf numFmtId="0" fontId="5" fillId="0" borderId="41" xfId="169" applyFont="1" applyFill="1" applyBorder="1" applyAlignment="1">
      <alignment horizontal="center"/>
    </xf>
    <xf numFmtId="0" fontId="14" fillId="0" borderId="0" xfId="172" applyFont="1" applyAlignment="1">
      <alignment horizontal="center"/>
    </xf>
  </cellXfs>
  <cellStyles count="242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 5" xfId="110"/>
    <cellStyle name="Comma0 - Style1" xfId="111"/>
    <cellStyle name="Currency" xfId="112" builtinId="4"/>
    <cellStyle name="Currency 2" xfId="113"/>
    <cellStyle name="Currency 3" xfId="114"/>
    <cellStyle name="Date" xfId="115"/>
    <cellStyle name="Euro" xfId="116"/>
    <cellStyle name="Explanatory Text" xfId="117" builtinId="53" customBuiltin="1"/>
    <cellStyle name="Explanatory Text 2" xfId="118"/>
    <cellStyle name="Fixed" xfId="119"/>
    <cellStyle name="Fixed1 - Style1" xfId="120"/>
    <cellStyle name="Gilsans" xfId="121"/>
    <cellStyle name="Gilsansl" xfId="122"/>
    <cellStyle name="Good" xfId="123" builtinId="26" customBuiltin="1"/>
    <cellStyle name="Good 2" xfId="124"/>
    <cellStyle name="Grey" xfId="125"/>
    <cellStyle name="HEADER" xfId="126"/>
    <cellStyle name="Header1" xfId="127"/>
    <cellStyle name="Header2" xfId="128"/>
    <cellStyle name="Heading" xfId="129"/>
    <cellStyle name="Heading 1" xfId="130" builtinId="16" customBuiltin="1"/>
    <cellStyle name="Heading 1 2" xfId="131"/>
    <cellStyle name="Heading 2" xfId="132" builtinId="17" customBuiltin="1"/>
    <cellStyle name="Heading 2 2" xfId="133"/>
    <cellStyle name="Heading 3" xfId="134" builtinId="18" customBuiltin="1"/>
    <cellStyle name="Heading 3 2" xfId="135"/>
    <cellStyle name="Heading 4" xfId="136" builtinId="19" customBuiltin="1"/>
    <cellStyle name="Heading 4 2" xfId="137"/>
    <cellStyle name="Heading1" xfId="138"/>
    <cellStyle name="Heading2" xfId="139"/>
    <cellStyle name="HIGHLIGHT" xfId="140"/>
    <cellStyle name="Input" xfId="141" builtinId="20" customBuiltin="1"/>
    <cellStyle name="Input [yellow]" xfId="142"/>
    <cellStyle name="Input 2" xfId="143"/>
    <cellStyle name="Lines" xfId="144"/>
    <cellStyle name="Linked Cell" xfId="145" builtinId="24" customBuiltin="1"/>
    <cellStyle name="Linked Cell 2" xfId="146"/>
    <cellStyle name="MEM SSN" xfId="147"/>
    <cellStyle name="Mine" xfId="148"/>
    <cellStyle name="mmm-yy" xfId="149"/>
    <cellStyle name="Monétaire [0]_pldt" xfId="150"/>
    <cellStyle name="Monétaire_pldt" xfId="151"/>
    <cellStyle name="Neutral" xfId="152" builtinId="28" customBuiltin="1"/>
    <cellStyle name="Neutral 2" xfId="153"/>
    <cellStyle name="New" xfId="154"/>
    <cellStyle name="No Border" xfId="155"/>
    <cellStyle name="no dec" xfId="156"/>
    <cellStyle name="Normal" xfId="0" builtinId="0"/>
    <cellStyle name="Normal - Style1" xfId="157"/>
    <cellStyle name="Normal 2" xfId="158"/>
    <cellStyle name="Normal 2 2" xfId="159"/>
    <cellStyle name="Normal 3" xfId="160"/>
    <cellStyle name="Normal 3 2" xfId="161"/>
    <cellStyle name="Normal 3 5" xfId="162"/>
    <cellStyle name="Normal 4" xfId="163"/>
    <cellStyle name="Normal CEN" xfId="164"/>
    <cellStyle name="Normal Centered" xfId="165"/>
    <cellStyle name="NORMAL CTR" xfId="166"/>
    <cellStyle name="Normal_2002 AREA LOADS FOR JNT TARIFF" xfId="167"/>
    <cellStyle name="Normal_Capital True-up" xfId="168"/>
    <cellStyle name="Normal_CU AC Rate Design" xfId="169"/>
    <cellStyle name="Normal_PRECorp2002HeintzResponse 8-21-03" xfId="170"/>
    <cellStyle name="Normal_Sheet1" xfId="171"/>
    <cellStyle name="Normal_TopSheet Type Ancillaries Worksheet-Updated 81903" xfId="172"/>
    <cellStyle name="Note" xfId="173" builtinId="10" customBuiltin="1"/>
    <cellStyle name="Note 2" xfId="174"/>
    <cellStyle name="nUMBER" xfId="175"/>
    <cellStyle name="Output" xfId="176" builtinId="21" customBuiltin="1"/>
    <cellStyle name="Output 2" xfId="177"/>
    <cellStyle name="Percent" xfId="178" builtinId="5"/>
    <cellStyle name="Percent [2]" xfId="179"/>
    <cellStyle name="Percent 2" xfId="180"/>
    <cellStyle name="PSChar" xfId="181"/>
    <cellStyle name="PSDate" xfId="182"/>
    <cellStyle name="PSDec" xfId="183"/>
    <cellStyle name="PSHeading" xfId="184"/>
    <cellStyle name="PSInt" xfId="185"/>
    <cellStyle name="PSSpacer" xfId="186"/>
    <cellStyle name="R00A" xfId="187"/>
    <cellStyle name="R00B" xfId="188"/>
    <cellStyle name="R00L" xfId="189"/>
    <cellStyle name="R01A" xfId="190"/>
    <cellStyle name="R01B" xfId="191"/>
    <cellStyle name="R01H" xfId="192"/>
    <cellStyle name="R01L" xfId="193"/>
    <cellStyle name="R02A" xfId="194"/>
    <cellStyle name="R02B" xfId="195"/>
    <cellStyle name="R02H" xfId="196"/>
    <cellStyle name="R02L" xfId="197"/>
    <cellStyle name="R03A" xfId="198"/>
    <cellStyle name="R03B" xfId="199"/>
    <cellStyle name="R03H" xfId="200"/>
    <cellStyle name="R03L" xfId="201"/>
    <cellStyle name="R04A" xfId="202"/>
    <cellStyle name="R04B" xfId="203"/>
    <cellStyle name="R04H" xfId="204"/>
    <cellStyle name="R04L" xfId="205"/>
    <cellStyle name="R05A" xfId="206"/>
    <cellStyle name="R05B" xfId="207"/>
    <cellStyle name="R05H" xfId="208"/>
    <cellStyle name="R05L" xfId="209"/>
    <cellStyle name="R06A" xfId="210"/>
    <cellStyle name="R06B" xfId="211"/>
    <cellStyle name="R06H" xfId="212"/>
    <cellStyle name="R06L" xfId="213"/>
    <cellStyle name="R07A" xfId="214"/>
    <cellStyle name="R07B" xfId="215"/>
    <cellStyle name="R07H" xfId="216"/>
    <cellStyle name="R07L" xfId="217"/>
    <cellStyle name="Resource Detail" xfId="218"/>
    <cellStyle name="Shade" xfId="219"/>
    <cellStyle name="single acct" xfId="220"/>
    <cellStyle name="Single Border" xfId="221"/>
    <cellStyle name="Small Page Heading" xfId="222"/>
    <cellStyle name="ssn" xfId="223"/>
    <cellStyle name="Style 1" xfId="224"/>
    <cellStyle name="Style 2" xfId="225"/>
    <cellStyle name="Style 27" xfId="226"/>
    <cellStyle name="Style 28" xfId="227"/>
    <cellStyle name="Table Sub Heading" xfId="228"/>
    <cellStyle name="Table Title" xfId="229"/>
    <cellStyle name="Table Units" xfId="230"/>
    <cellStyle name="Theirs" xfId="231"/>
    <cellStyle name="Times New Roman" xfId="232"/>
    <cellStyle name="Title" xfId="233" builtinId="15" customBuiltin="1"/>
    <cellStyle name="Title 2" xfId="234"/>
    <cellStyle name="Total" xfId="235" builtinId="25" customBuiltin="1"/>
    <cellStyle name="Total 2" xfId="236"/>
    <cellStyle name="Unprot" xfId="237"/>
    <cellStyle name="Unprot$" xfId="238"/>
    <cellStyle name="Unprotect" xfId="239"/>
    <cellStyle name="Warning Text" xfId="240" builtinId="11" customBuiltin="1"/>
    <cellStyle name="Warning Text 2" xfId="24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P46"/>
  <sheetViews>
    <sheetView zoomScaleNormal="100" workbookViewId="0">
      <selection activeCell="D24" sqref="D24"/>
    </sheetView>
  </sheetViews>
  <sheetFormatPr defaultColWidth="7.109375" defaultRowHeight="12.75"/>
  <cols>
    <col min="1" max="1" width="3.77734375" style="37" customWidth="1"/>
    <col min="2" max="2" width="7.109375" style="38" customWidth="1"/>
    <col min="3" max="3" width="6.88671875" style="38" customWidth="1"/>
    <col min="4" max="4" width="11.5546875" style="38" customWidth="1"/>
    <col min="5" max="5" width="11.5546875" style="38" bestFit="1" customWidth="1"/>
    <col min="6" max="6" width="12.109375" style="38" customWidth="1"/>
    <col min="7" max="7" width="8.77734375" style="38" bestFit="1" customWidth="1"/>
    <col min="8" max="8" width="9.5546875" style="38" bestFit="1" customWidth="1"/>
    <col min="9" max="9" width="7.109375" style="38" customWidth="1"/>
    <col min="10" max="10" width="8.77734375" style="38" bestFit="1" customWidth="1"/>
    <col min="11" max="11" width="7.109375" style="38" customWidth="1"/>
    <col min="12" max="12" width="11.44140625" style="38" customWidth="1"/>
    <col min="13" max="16384" width="7.109375" style="38"/>
  </cols>
  <sheetData>
    <row r="1" spans="1:11">
      <c r="H1" s="311" t="s">
        <v>478</v>
      </c>
    </row>
    <row r="2" spans="1:11">
      <c r="G2" s="86"/>
      <c r="H2" s="87"/>
      <c r="I2" s="87"/>
      <c r="J2" s="87"/>
    </row>
    <row r="3" spans="1:11" ht="15" customHeight="1">
      <c r="A3" s="384" t="s">
        <v>360</v>
      </c>
      <c r="B3" s="384"/>
      <c r="C3" s="384"/>
      <c r="D3" s="384"/>
      <c r="E3" s="384"/>
      <c r="F3" s="384"/>
      <c r="G3" s="384"/>
      <c r="H3" s="384"/>
    </row>
    <row r="4" spans="1:11" ht="15" customHeight="1">
      <c r="A4" s="384" t="s">
        <v>77</v>
      </c>
      <c r="B4" s="384"/>
      <c r="C4" s="384"/>
      <c r="D4" s="384"/>
      <c r="E4" s="384"/>
      <c r="F4" s="384"/>
      <c r="G4" s="384"/>
      <c r="H4" s="384"/>
    </row>
    <row r="6" spans="1:11">
      <c r="A6" s="39" t="s">
        <v>70</v>
      </c>
    </row>
    <row r="8" spans="1:11">
      <c r="A8" s="37">
        <v>1</v>
      </c>
      <c r="B8" s="58" t="s">
        <v>114</v>
      </c>
      <c r="D8" s="86"/>
      <c r="E8" s="87"/>
      <c r="G8" s="58"/>
      <c r="H8" s="362">
        <v>464484.58</v>
      </c>
      <c r="I8" s="86" t="s">
        <v>453</v>
      </c>
      <c r="K8" s="87"/>
    </row>
    <row r="9" spans="1:11">
      <c r="G9" s="58"/>
      <c r="H9" s="58"/>
    </row>
    <row r="10" spans="1:11" ht="39" thickBot="1">
      <c r="D10" s="40" t="str">
        <f>+B20</f>
        <v>Entity</v>
      </c>
      <c r="E10" s="41"/>
      <c r="F10" s="81" t="s">
        <v>164</v>
      </c>
      <c r="G10" s="258" t="s">
        <v>254</v>
      </c>
      <c r="H10" s="81" t="s">
        <v>362</v>
      </c>
    </row>
    <row r="11" spans="1:11">
      <c r="D11" s="37"/>
      <c r="F11" s="43"/>
      <c r="G11" s="259"/>
      <c r="H11" s="260"/>
    </row>
    <row r="12" spans="1:11">
      <c r="A12" s="37">
        <v>2</v>
      </c>
      <c r="D12" s="38" t="s">
        <v>363</v>
      </c>
      <c r="F12" s="82">
        <f>+L22</f>
        <v>20.709648947724965</v>
      </c>
      <c r="G12" s="261">
        <f>+F12/F$15</f>
        <v>0.52398012391898696</v>
      </c>
      <c r="H12" s="262">
        <f>+H$8*G12</f>
        <v>243380.68778685862</v>
      </c>
      <c r="J12" s="44"/>
      <c r="K12" s="45"/>
    </row>
    <row r="13" spans="1:11">
      <c r="A13" s="37">
        <v>3</v>
      </c>
      <c r="D13" s="38" t="s">
        <v>364</v>
      </c>
      <c r="F13" s="83">
        <f>+L23</f>
        <v>16.666819241778757</v>
      </c>
      <c r="G13" s="261">
        <f>+F13/F$15</f>
        <v>0.4216914556922971</v>
      </c>
      <c r="H13" s="262">
        <f>+H$8*G13</f>
        <v>195869.17868682524</v>
      </c>
      <c r="J13" s="46"/>
      <c r="K13" s="45"/>
    </row>
    <row r="14" spans="1:11" ht="13.5" thickBot="1">
      <c r="A14" s="37">
        <v>4</v>
      </c>
      <c r="D14" s="156" t="s">
        <v>365</v>
      </c>
      <c r="E14" s="156"/>
      <c r="F14" s="157">
        <f>+L24</f>
        <v>2.1472618192454296</v>
      </c>
      <c r="G14" s="158">
        <f>+F14/F$15</f>
        <v>5.4328420388715888E-2</v>
      </c>
      <c r="H14" s="159">
        <f>+H$8*G14</f>
        <v>25234.713526316136</v>
      </c>
      <c r="J14" s="46"/>
      <c r="K14" s="45"/>
    </row>
    <row r="15" spans="1:11">
      <c r="A15" s="37">
        <v>5</v>
      </c>
      <c r="D15" s="38" t="s">
        <v>198</v>
      </c>
      <c r="F15" s="83">
        <f>SUM(F12:F14)</f>
        <v>39.523730008749155</v>
      </c>
      <c r="G15" s="263">
        <f>+F15/F$15</f>
        <v>1</v>
      </c>
      <c r="H15" s="264">
        <f>SUM(H12:H14)</f>
        <v>464484.58</v>
      </c>
      <c r="J15" s="44"/>
    </row>
    <row r="16" spans="1:11">
      <c r="G16" s="58"/>
      <c r="H16" s="58"/>
    </row>
    <row r="17" spans="1:16">
      <c r="G17" s="58"/>
      <c r="H17" s="58"/>
    </row>
    <row r="18" spans="1:16">
      <c r="A18" s="39" t="s">
        <v>366</v>
      </c>
      <c r="E18" s="338" t="s">
        <v>477</v>
      </c>
      <c r="F18" s="87"/>
      <c r="G18" s="86"/>
      <c r="H18" s="86"/>
    </row>
    <row r="19" spans="1:16">
      <c r="G19" s="58"/>
      <c r="H19" s="58"/>
    </row>
    <row r="20" spans="1:16" ht="39" thickBot="1">
      <c r="B20" s="41" t="s">
        <v>367</v>
      </c>
      <c r="C20" s="41"/>
      <c r="D20" s="42" t="s">
        <v>165</v>
      </c>
      <c r="E20" s="42" t="s">
        <v>167</v>
      </c>
      <c r="F20" s="42" t="s">
        <v>368</v>
      </c>
      <c r="G20" s="245" t="s">
        <v>476</v>
      </c>
      <c r="H20" s="81" t="s">
        <v>309</v>
      </c>
    </row>
    <row r="21" spans="1:16">
      <c r="G21" s="58"/>
      <c r="H21" s="58"/>
      <c r="M21" s="246" t="s">
        <v>392</v>
      </c>
      <c r="N21" s="247"/>
      <c r="O21" s="247"/>
      <c r="P21" s="248"/>
    </row>
    <row r="22" spans="1:16">
      <c r="A22" s="37">
        <v>6</v>
      </c>
      <c r="B22" s="38" t="str">
        <f>+D12</f>
        <v>Black Hills</v>
      </c>
      <c r="D22" s="166">
        <f>'True-Up'!J115</f>
        <v>20316838.372904312</v>
      </c>
      <c r="E22" s="47">
        <f>-H12</f>
        <v>-243380.68778685862</v>
      </c>
      <c r="F22" s="47">
        <f>+E22+D22</f>
        <v>20073457.685117453</v>
      </c>
      <c r="G22" s="63">
        <f>+'WP7 CU AC LOADS'!J24*1000</f>
        <v>977166.66666666663</v>
      </c>
      <c r="H22" s="265">
        <f>+F22/G22</f>
        <v>20.542511702320436</v>
      </c>
      <c r="J22" s="160" t="s">
        <v>119</v>
      </c>
      <c r="L22" s="339">
        <v>20.709648947724965</v>
      </c>
      <c r="M22" s="249" t="s">
        <v>393</v>
      </c>
      <c r="N22" s="250"/>
      <c r="O22" s="250"/>
      <c r="P22" s="251"/>
    </row>
    <row r="23" spans="1:16">
      <c r="A23" s="37">
        <v>7</v>
      </c>
      <c r="B23" s="38" t="str">
        <f>+D13</f>
        <v>Basin Electric</v>
      </c>
      <c r="D23" s="340">
        <v>16482130</v>
      </c>
      <c r="E23" s="47">
        <f>-H13</f>
        <v>-195869.17868682524</v>
      </c>
      <c r="F23" s="47">
        <f>+E23+D23</f>
        <v>16286260.821313174</v>
      </c>
      <c r="G23" s="266">
        <f>+G22</f>
        <v>977166.66666666663</v>
      </c>
      <c r="H23" s="265">
        <f>+F23/G23</f>
        <v>16.666819875128613</v>
      </c>
      <c r="J23" s="160" t="s">
        <v>119</v>
      </c>
      <c r="L23" s="339">
        <v>16.666819241778757</v>
      </c>
      <c r="M23" s="249" t="s">
        <v>394</v>
      </c>
      <c r="N23" s="250"/>
      <c r="O23" s="250"/>
      <c r="P23" s="251"/>
    </row>
    <row r="24" spans="1:16" ht="13.5" thickBot="1">
      <c r="A24" s="37">
        <v>8</v>
      </c>
      <c r="B24" s="41" t="str">
        <f>+D14</f>
        <v>PRECorp</v>
      </c>
      <c r="C24" s="41"/>
      <c r="D24" s="341">
        <v>2123466</v>
      </c>
      <c r="E24" s="50">
        <f>-H14</f>
        <v>-25234.713526316136</v>
      </c>
      <c r="F24" s="50">
        <f>+E24+D24</f>
        <v>2098231.286473684</v>
      </c>
      <c r="G24" s="267">
        <f>+G23</f>
        <v>977166.66666666663</v>
      </c>
      <c r="H24" s="268">
        <f>+F24/G24</f>
        <v>2.1472603989155901</v>
      </c>
      <c r="J24" s="160" t="s">
        <v>119</v>
      </c>
      <c r="L24" s="339">
        <v>2.1472618192454296</v>
      </c>
      <c r="M24" s="252" t="s">
        <v>395</v>
      </c>
      <c r="N24" s="253"/>
      <c r="O24" s="253"/>
      <c r="P24" s="254"/>
    </row>
    <row r="25" spans="1:16">
      <c r="A25" s="37">
        <v>9</v>
      </c>
      <c r="B25" s="38" t="s">
        <v>198</v>
      </c>
      <c r="D25" s="47">
        <f>SUM(D22:D24)</f>
        <v>38922434.372904316</v>
      </c>
      <c r="E25" s="47">
        <f>SUM(E22:E24)</f>
        <v>-464484.58</v>
      </c>
      <c r="F25" s="47">
        <f>SUM(F22:F24)</f>
        <v>38457949.79290431</v>
      </c>
      <c r="H25" s="48">
        <f>SUM(H22:H24)</f>
        <v>39.356591976364641</v>
      </c>
    </row>
    <row r="26" spans="1:16">
      <c r="F26" s="47"/>
      <c r="G26" s="49"/>
      <c r="H26" s="48"/>
    </row>
    <row r="27" spans="1:16">
      <c r="A27" s="39" t="s">
        <v>369</v>
      </c>
    </row>
    <row r="28" spans="1:16">
      <c r="A28" s="37">
        <v>10</v>
      </c>
      <c r="D28" s="38" t="s">
        <v>370</v>
      </c>
      <c r="F28" s="52">
        <f>+H25</f>
        <v>39.356591976364641</v>
      </c>
      <c r="G28" s="51" t="s">
        <v>371</v>
      </c>
    </row>
    <row r="29" spans="1:16">
      <c r="A29" s="37">
        <f t="shared" ref="A29:A34" si="0">+A28+1</f>
        <v>11</v>
      </c>
      <c r="D29" s="38" t="s">
        <v>372</v>
      </c>
      <c r="F29" s="82">
        <f>ROUND(F28/12,2)</f>
        <v>3.28</v>
      </c>
      <c r="G29" s="51" t="s">
        <v>373</v>
      </c>
    </row>
    <row r="30" spans="1:16">
      <c r="A30" s="37">
        <f t="shared" si="0"/>
        <v>12</v>
      </c>
      <c r="D30" s="38" t="s">
        <v>374</v>
      </c>
      <c r="F30" s="82">
        <f>ROUND(F28/52,2)</f>
        <v>0.76</v>
      </c>
      <c r="G30" s="51" t="s">
        <v>375</v>
      </c>
    </row>
    <row r="31" spans="1:16">
      <c r="A31" s="37">
        <f t="shared" si="0"/>
        <v>13</v>
      </c>
      <c r="D31" s="38" t="s">
        <v>376</v>
      </c>
      <c r="E31" s="38" t="s">
        <v>377</v>
      </c>
      <c r="F31" s="84">
        <f>+F30/6</f>
        <v>0.12666666666666668</v>
      </c>
      <c r="G31" s="51" t="s">
        <v>378</v>
      </c>
    </row>
    <row r="32" spans="1:16">
      <c r="A32" s="37">
        <f t="shared" si="0"/>
        <v>14</v>
      </c>
      <c r="D32" s="38" t="s">
        <v>379</v>
      </c>
      <c r="E32" s="38" t="s">
        <v>380</v>
      </c>
      <c r="F32" s="84">
        <f>+F30/7</f>
        <v>0.10857142857142857</v>
      </c>
      <c r="G32" s="51" t="s">
        <v>378</v>
      </c>
    </row>
    <row r="33" spans="1:7">
      <c r="A33" s="37">
        <f t="shared" si="0"/>
        <v>15</v>
      </c>
      <c r="D33" s="38" t="s">
        <v>381</v>
      </c>
      <c r="E33" s="38" t="s">
        <v>382</v>
      </c>
      <c r="F33" s="85">
        <f>+F31/16</f>
        <v>7.9166666666666673E-3</v>
      </c>
      <c r="G33" s="51" t="s">
        <v>383</v>
      </c>
    </row>
    <row r="34" spans="1:7">
      <c r="A34" s="37">
        <f t="shared" si="0"/>
        <v>16</v>
      </c>
      <c r="D34" s="38" t="s">
        <v>384</v>
      </c>
      <c r="E34" s="38" t="s">
        <v>385</v>
      </c>
      <c r="F34" s="85">
        <f>+F32/24</f>
        <v>4.5238095238095237E-3</v>
      </c>
      <c r="G34" s="51" t="s">
        <v>383</v>
      </c>
    </row>
    <row r="40" spans="1:7">
      <c r="A40" s="39" t="s">
        <v>386</v>
      </c>
    </row>
    <row r="42" spans="1:7">
      <c r="B42" s="38" t="str">
        <f>+D20</f>
        <v>Component Annual Revenue Requirements</v>
      </c>
      <c r="E42" s="47">
        <f>+D25</f>
        <v>38922434.372904316</v>
      </c>
    </row>
    <row r="43" spans="1:7">
      <c r="B43" s="58" t="s">
        <v>361</v>
      </c>
      <c r="E43" s="47">
        <f>+E25</f>
        <v>-464484.58</v>
      </c>
    </row>
    <row r="44" spans="1:7">
      <c r="B44" s="38" t="str">
        <f>+F20</f>
        <v>Net Revenue Requirements</v>
      </c>
      <c r="E44" s="47">
        <f>+F25</f>
        <v>38457949.79290431</v>
      </c>
    </row>
    <row r="45" spans="1:7">
      <c r="B45" s="38" t="str">
        <f>+G20</f>
        <v>Actual 2017 Load</v>
      </c>
      <c r="E45" s="49">
        <f>+G22</f>
        <v>977166.66666666663</v>
      </c>
    </row>
    <row r="46" spans="1:7">
      <c r="B46" s="38" t="str">
        <f>+H20</f>
        <v>Annual Rate</v>
      </c>
      <c r="E46" s="52">
        <f>+E44/E45</f>
        <v>39.356591976364641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N240"/>
  <sheetViews>
    <sheetView showGridLines="0" tabSelected="1" topLeftCell="B68" zoomScale="90" zoomScaleNormal="90" workbookViewId="0">
      <selection activeCell="G112" sqref="G112"/>
    </sheetView>
  </sheetViews>
  <sheetFormatPr defaultRowHeight="15"/>
  <cols>
    <col min="1" max="1" width="6" customWidth="1"/>
    <col min="2" max="2" width="1.44140625" customWidth="1"/>
    <col min="3" max="3" width="41.109375" customWidth="1"/>
    <col min="4" max="4" width="34.5546875" customWidth="1"/>
    <col min="5" max="5" width="15.21875" customWidth="1"/>
    <col min="6" max="6" width="7.77734375" customWidth="1"/>
    <col min="7" max="7" width="11.88671875" bestFit="1" customWidth="1"/>
    <col min="8" max="8" width="14" customWidth="1"/>
    <col min="9" max="9" width="7.5546875" customWidth="1"/>
    <col min="10" max="10" width="12.77734375" customWidth="1"/>
    <col min="11" max="11" width="1.21875" customWidth="1"/>
    <col min="12" max="12" width="14.44140625" bestFit="1" customWidth="1"/>
    <col min="13" max="15" width="13.44140625" bestFit="1" customWidth="1"/>
  </cols>
  <sheetData>
    <row r="1" spans="1:40">
      <c r="A1" s="194"/>
      <c r="B1" s="194"/>
      <c r="C1" s="194"/>
      <c r="D1" s="194"/>
      <c r="E1" s="194"/>
      <c r="F1" s="194"/>
      <c r="G1" s="194"/>
      <c r="H1" s="194"/>
      <c r="I1" s="308" t="s">
        <v>419</v>
      </c>
      <c r="J1" s="320">
        <v>43251</v>
      </c>
      <c r="K1" s="194"/>
    </row>
    <row r="2" spans="1:40" ht="15.75">
      <c r="A2" s="182"/>
      <c r="B2" s="182"/>
      <c r="C2" s="182"/>
      <c r="D2" s="270"/>
      <c r="E2" s="182"/>
      <c r="F2" s="182"/>
      <c r="G2" s="182"/>
      <c r="H2" s="194"/>
      <c r="I2" s="198" t="s">
        <v>166</v>
      </c>
      <c r="J2" s="186">
        <v>2017</v>
      </c>
      <c r="K2" s="19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5" customHeight="1">
      <c r="A4" s="385" t="s">
        <v>321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5.75">
      <c r="A5" s="386" t="s">
        <v>195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>
      <c r="A6" s="182"/>
      <c r="B6" s="182"/>
      <c r="C6" s="186"/>
      <c r="D6" s="186"/>
      <c r="E6" s="194"/>
      <c r="F6" s="186"/>
      <c r="G6" s="186"/>
      <c r="H6" s="186"/>
      <c r="I6" s="186"/>
      <c r="J6" s="186"/>
      <c r="K6" s="18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5" customHeight="1">
      <c r="A7" s="387" t="s">
        <v>320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>
      <c r="A8" s="191"/>
      <c r="B8" s="182"/>
      <c r="C8" s="186"/>
      <c r="D8" s="186"/>
      <c r="E8" s="206"/>
      <c r="F8" s="186"/>
      <c r="G8" s="186"/>
      <c r="H8" s="186"/>
      <c r="I8" s="186"/>
      <c r="J8" s="186"/>
      <c r="K8" s="18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>
      <c r="A9" s="182"/>
      <c r="B9" s="182"/>
      <c r="C9" s="271" t="s">
        <v>201</v>
      </c>
      <c r="D9" s="271" t="s">
        <v>202</v>
      </c>
      <c r="E9" s="271" t="s">
        <v>203</v>
      </c>
      <c r="F9" s="177" t="s">
        <v>194</v>
      </c>
      <c r="G9" s="177"/>
      <c r="H9" s="272" t="s">
        <v>204</v>
      </c>
      <c r="I9" s="177"/>
      <c r="J9" s="208" t="s">
        <v>205</v>
      </c>
      <c r="K9" s="17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5.75">
      <c r="A10" s="182"/>
      <c r="B10" s="182"/>
      <c r="C10" s="195"/>
      <c r="D10" s="257" t="s">
        <v>206</v>
      </c>
      <c r="E10" s="177"/>
      <c r="F10" s="177"/>
      <c r="G10" s="273" t="s">
        <v>93</v>
      </c>
      <c r="H10" s="191"/>
      <c r="I10" s="177"/>
      <c r="J10" s="256" t="s">
        <v>207</v>
      </c>
      <c r="K10" s="17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5.75">
      <c r="A11" s="191" t="s">
        <v>196</v>
      </c>
      <c r="B11" s="182"/>
      <c r="C11" s="195"/>
      <c r="D11" s="274" t="s">
        <v>208</v>
      </c>
      <c r="E11" s="256" t="s">
        <v>209</v>
      </c>
      <c r="F11" s="275"/>
      <c r="G11" s="276" t="s">
        <v>83</v>
      </c>
      <c r="H11" s="232"/>
      <c r="I11" s="275"/>
      <c r="J11" s="191" t="s">
        <v>210</v>
      </c>
      <c r="K11" s="17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6.5" thickBot="1">
      <c r="A12" s="200" t="s">
        <v>197</v>
      </c>
      <c r="B12" s="182"/>
      <c r="C12" s="199" t="s">
        <v>211</v>
      </c>
      <c r="D12" s="177"/>
      <c r="E12" s="177"/>
      <c r="F12" s="177"/>
      <c r="G12" s="177"/>
      <c r="H12" s="177"/>
      <c r="I12" s="177"/>
      <c r="J12" s="177"/>
      <c r="K12" s="17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>
      <c r="A13" s="191"/>
      <c r="B13" s="182"/>
      <c r="C13" s="195"/>
      <c r="D13" s="177"/>
      <c r="E13" s="177"/>
      <c r="F13" s="177"/>
      <c r="G13" s="177"/>
      <c r="H13" s="177"/>
      <c r="I13" s="177"/>
      <c r="J13" s="177"/>
      <c r="K13" s="17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>
      <c r="A14" s="191"/>
      <c r="B14" s="182"/>
      <c r="C14" s="195" t="s">
        <v>212</v>
      </c>
      <c r="D14" s="14" t="s">
        <v>420</v>
      </c>
      <c r="E14" s="177"/>
      <c r="F14" s="177"/>
      <c r="G14" s="177"/>
      <c r="H14" s="177"/>
      <c r="I14" s="177"/>
      <c r="J14" s="177"/>
      <c r="K14" s="17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>
      <c r="A15" s="191">
        <v>1</v>
      </c>
      <c r="B15" s="182"/>
      <c r="C15" s="195" t="s">
        <v>213</v>
      </c>
      <c r="D15" s="14" t="s">
        <v>73</v>
      </c>
      <c r="E15" s="177">
        <f>+'WP6 Rate Base'!R15</f>
        <v>587714455.09461546</v>
      </c>
      <c r="F15" s="177"/>
      <c r="G15" s="177" t="s">
        <v>214</v>
      </c>
      <c r="H15" s="176" t="s">
        <v>194</v>
      </c>
      <c r="I15" s="177"/>
      <c r="J15" s="177" t="s">
        <v>194</v>
      </c>
      <c r="K15" s="17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>
      <c r="A16" s="191">
        <f>+A15+1</f>
        <v>2</v>
      </c>
      <c r="B16" s="182"/>
      <c r="C16" s="195" t="s">
        <v>215</v>
      </c>
      <c r="D16" s="14" t="s">
        <v>120</v>
      </c>
      <c r="E16" s="14">
        <f>+'WP6 Rate Base'!R16</f>
        <v>169885033.15846154</v>
      </c>
      <c r="F16" s="177"/>
      <c r="G16" s="177" t="s">
        <v>200</v>
      </c>
      <c r="H16" s="176">
        <f>+J143</f>
        <v>0.86310600000000004</v>
      </c>
      <c r="I16" s="177"/>
      <c r="J16" s="14">
        <f>+H16*E16</f>
        <v>146628791.42926711</v>
      </c>
      <c r="K16" s="17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>
      <c r="A17" s="191">
        <f t="shared" ref="A17:A62" si="0">+A16+1</f>
        <v>3</v>
      </c>
      <c r="B17" s="182"/>
      <c r="C17" s="195" t="s">
        <v>216</v>
      </c>
      <c r="D17" s="14" t="s">
        <v>121</v>
      </c>
      <c r="E17" s="177">
        <f>+'WP6 Rate Base'!R17</f>
        <v>367623537.63307697</v>
      </c>
      <c r="F17" s="177"/>
      <c r="G17" s="177" t="s">
        <v>214</v>
      </c>
      <c r="H17" s="178"/>
      <c r="I17" s="177"/>
      <c r="J17" s="177"/>
      <c r="K17" s="17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>
      <c r="A18" s="191">
        <f t="shared" si="0"/>
        <v>4</v>
      </c>
      <c r="B18" s="182"/>
      <c r="C18" s="195" t="s">
        <v>217</v>
      </c>
      <c r="D18" s="14" t="s">
        <v>421</v>
      </c>
      <c r="E18" s="177">
        <f>+'WP6 Rate Base'!R18</f>
        <v>44001508.216923073</v>
      </c>
      <c r="F18" s="177"/>
      <c r="G18" s="177" t="s">
        <v>218</v>
      </c>
      <c r="H18" s="176">
        <f>J175</f>
        <v>0.12415198974295021</v>
      </c>
      <c r="I18" s="177"/>
      <c r="J18" s="177">
        <f>+H18*E18</f>
        <v>5462874.7968217721</v>
      </c>
      <c r="K18" s="177"/>
      <c r="L18" s="32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>
      <c r="A19" s="191">
        <f t="shared" si="0"/>
        <v>5</v>
      </c>
      <c r="B19" s="182"/>
      <c r="C19" s="195" t="s">
        <v>137</v>
      </c>
      <c r="D19" s="14" t="s">
        <v>422</v>
      </c>
      <c r="E19" s="373">
        <v>29455961.946103953</v>
      </c>
      <c r="F19" s="177"/>
      <c r="G19" s="177" t="s">
        <v>218</v>
      </c>
      <c r="H19" s="176">
        <f>+H18</f>
        <v>0.12415198974295021</v>
      </c>
      <c r="I19" s="177"/>
      <c r="J19" s="177">
        <f>+H19*E19</f>
        <v>3657016.2854014295</v>
      </c>
      <c r="K19" s="177"/>
      <c r="L19" s="328" t="s">
        <v>480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>
      <c r="A20" s="191">
        <f t="shared" si="0"/>
        <v>6</v>
      </c>
      <c r="B20" s="182"/>
      <c r="C20" s="195" t="s">
        <v>102</v>
      </c>
      <c r="D20" s="14" t="s">
        <v>421</v>
      </c>
      <c r="E20" s="177">
        <f>+'WP6 Rate Base'!R20</f>
        <v>7235087.5515384609</v>
      </c>
      <c r="F20" s="177"/>
      <c r="G20" s="177" t="s">
        <v>131</v>
      </c>
      <c r="H20" s="176">
        <f>+J181</f>
        <v>0.30042575759394208</v>
      </c>
      <c r="I20" s="177"/>
      <c r="J20" s="177">
        <f>+H20*E20</f>
        <v>2173606.6589294416</v>
      </c>
      <c r="K20" s="17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5.75" thickBot="1">
      <c r="A21" s="191">
        <f t="shared" si="0"/>
        <v>7</v>
      </c>
      <c r="B21" s="182"/>
      <c r="C21" s="195" t="s">
        <v>219</v>
      </c>
      <c r="D21" s="14" t="s">
        <v>220</v>
      </c>
      <c r="E21" s="179">
        <f>+'WP6 Rate Base'!R21</f>
        <v>0</v>
      </c>
      <c r="F21" s="177"/>
      <c r="G21" s="177" t="s">
        <v>251</v>
      </c>
      <c r="H21" s="176">
        <v>0</v>
      </c>
      <c r="I21" s="177"/>
      <c r="J21" s="179">
        <f>+H21*E21</f>
        <v>0</v>
      </c>
      <c r="K21" s="17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>
      <c r="A22" s="191">
        <f t="shared" si="0"/>
        <v>8</v>
      </c>
      <c r="B22" s="182"/>
      <c r="C22" s="201" t="s">
        <v>5</v>
      </c>
      <c r="D22" s="14" t="str">
        <f>"(sum lines "&amp;A15&amp;" - "&amp;A21&amp;")"</f>
        <v>(sum lines 1 - 7)</v>
      </c>
      <c r="E22" s="177">
        <f>SUM(E15:E21)</f>
        <v>1205915583.6007195</v>
      </c>
      <c r="F22" s="177"/>
      <c r="G22" s="177" t="s">
        <v>221</v>
      </c>
      <c r="H22" s="180">
        <f>IF(E22&gt;0,+J22/E22,0)</f>
        <v>0.1309563383357919</v>
      </c>
      <c r="I22" s="177"/>
      <c r="J22" s="177">
        <f>SUM(J15:J21)</f>
        <v>157922289.17041975</v>
      </c>
      <c r="K22" s="17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191">
        <f t="shared" si="0"/>
        <v>9</v>
      </c>
      <c r="B23" s="182"/>
      <c r="C23" s="195"/>
      <c r="D23" s="14"/>
      <c r="E23" s="177"/>
      <c r="F23" s="177"/>
      <c r="G23" s="177"/>
      <c r="H23" s="180"/>
      <c r="I23" s="177"/>
      <c r="J23" s="177"/>
      <c r="K23" s="17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>
      <c r="A24" s="191">
        <f t="shared" si="0"/>
        <v>10</v>
      </c>
      <c r="B24" s="182"/>
      <c r="C24" s="195" t="s">
        <v>222</v>
      </c>
      <c r="D24" s="14" t="s">
        <v>420</v>
      </c>
      <c r="E24" s="177"/>
      <c r="F24" s="177"/>
      <c r="G24" s="177"/>
      <c r="H24" s="177"/>
      <c r="I24" s="177"/>
      <c r="J24" s="177"/>
      <c r="K24" s="17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>
      <c r="A25" s="191">
        <f t="shared" si="0"/>
        <v>11</v>
      </c>
      <c r="B25" s="182"/>
      <c r="C25" s="195" t="str">
        <f>+C15</f>
        <v xml:space="preserve">  Production</v>
      </c>
      <c r="D25" s="14" t="s">
        <v>409</v>
      </c>
      <c r="E25" s="177">
        <f>+'WP6 Rate Base'!R25</f>
        <v>185266812.74097365</v>
      </c>
      <c r="F25" s="177"/>
      <c r="G25" s="177" t="str">
        <f>+G15</f>
        <v>NA</v>
      </c>
      <c r="H25" s="176" t="str">
        <f>+H15</f>
        <v xml:space="preserve"> </v>
      </c>
      <c r="I25" s="177"/>
      <c r="J25" s="177" t="s">
        <v>194</v>
      </c>
      <c r="K25" s="17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>
      <c r="A26" s="191">
        <f t="shared" si="0"/>
        <v>12</v>
      </c>
      <c r="B26" s="182"/>
      <c r="C26" s="195" t="s">
        <v>215</v>
      </c>
      <c r="D26" s="14" t="s">
        <v>122</v>
      </c>
      <c r="E26" s="373">
        <f>+'WP6 Rate Base'!R26</f>
        <v>43096515.001804784</v>
      </c>
      <c r="F26" s="177"/>
      <c r="G26" s="177" t="s">
        <v>80</v>
      </c>
      <c r="H26" s="176">
        <f>+J161</f>
        <v>0.81897500000000001</v>
      </c>
      <c r="I26" s="177"/>
      <c r="J26" s="177">
        <f>+H26*E26</f>
        <v>35294968.373603076</v>
      </c>
      <c r="K26" s="177"/>
      <c r="L26" s="328" t="s">
        <v>482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>
      <c r="A27" s="191">
        <f t="shared" si="0"/>
        <v>13</v>
      </c>
      <c r="B27" s="182"/>
      <c r="C27" s="195" t="s">
        <v>216</v>
      </c>
      <c r="D27" s="14" t="s">
        <v>123</v>
      </c>
      <c r="E27" s="177">
        <f>+'WP6 Rate Base'!R27</f>
        <v>130155902.69373825</v>
      </c>
      <c r="F27" s="177"/>
      <c r="G27" s="177" t="s">
        <v>214</v>
      </c>
      <c r="H27" s="176"/>
      <c r="I27" s="177"/>
      <c r="J27" s="177"/>
      <c r="K27" s="17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>
      <c r="A28" s="191">
        <f t="shared" si="0"/>
        <v>14</v>
      </c>
      <c r="B28" s="182"/>
      <c r="C28" s="195" t="str">
        <f>+C18</f>
        <v xml:space="preserve">  General &amp; Intangible</v>
      </c>
      <c r="D28" s="14" t="s">
        <v>407</v>
      </c>
      <c r="E28" s="373">
        <f>+'WP6 Rate Base'!R28</f>
        <v>23988498.304912701</v>
      </c>
      <c r="F28" s="177"/>
      <c r="G28" s="177" t="str">
        <f>+G18</f>
        <v>W/S</v>
      </c>
      <c r="H28" s="176">
        <f>+H18</f>
        <v>0.12415198974295021</v>
      </c>
      <c r="I28" s="177"/>
      <c r="J28" s="177">
        <f>+H28*E28</f>
        <v>2978219.7955002999</v>
      </c>
      <c r="K28" s="177"/>
      <c r="L28" s="328" t="s">
        <v>482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>
      <c r="A29" s="191">
        <f t="shared" si="0"/>
        <v>15</v>
      </c>
      <c r="B29" s="182"/>
      <c r="C29" s="195" t="s">
        <v>137</v>
      </c>
      <c r="D29" s="14" t="s">
        <v>422</v>
      </c>
      <c r="E29" s="373">
        <v>14514738.723597361</v>
      </c>
      <c r="F29" s="177"/>
      <c r="G29" s="177" t="str">
        <f>+G19</f>
        <v>W/S</v>
      </c>
      <c r="H29" s="176">
        <f>+H28</f>
        <v>0.12415198974295021</v>
      </c>
      <c r="I29" s="177"/>
      <c r="J29" s="177">
        <f>+H29*E29</f>
        <v>1802033.6931336618</v>
      </c>
      <c r="K29" s="177"/>
      <c r="L29" s="328" t="s">
        <v>480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>
      <c r="A30" s="191">
        <f t="shared" si="0"/>
        <v>16</v>
      </c>
      <c r="B30" s="182"/>
      <c r="C30" s="195" t="str">
        <f>+C20</f>
        <v xml:space="preserve">  Communication System</v>
      </c>
      <c r="D30" s="14" t="s">
        <v>421</v>
      </c>
      <c r="E30" s="373">
        <f>+'WP6 Rate Base'!R30</f>
        <v>3623484.1942942566</v>
      </c>
      <c r="F30" s="177"/>
      <c r="G30" s="177" t="str">
        <f>+G20</f>
        <v>T&amp;D</v>
      </c>
      <c r="H30" s="176">
        <f>+H20</f>
        <v>0.30042575759394208</v>
      </c>
      <c r="I30" s="177"/>
      <c r="J30" s="177">
        <f>+H30*E30</f>
        <v>1088587.984200527</v>
      </c>
      <c r="K30" s="177"/>
      <c r="L30" s="328" t="s">
        <v>482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5.75" thickBot="1">
      <c r="A31" s="191">
        <f t="shared" si="0"/>
        <v>17</v>
      </c>
      <c r="B31" s="182"/>
      <c r="C31" s="195" t="str">
        <f>+C21</f>
        <v xml:space="preserve">  Common</v>
      </c>
      <c r="D31" s="14" t="s">
        <v>220</v>
      </c>
      <c r="E31" s="179">
        <f>+'WP6 Rate Base'!R31</f>
        <v>0</v>
      </c>
      <c r="F31" s="177"/>
      <c r="G31" s="177" t="str">
        <f>+G21</f>
        <v>CE</v>
      </c>
      <c r="H31" s="176">
        <f>+H21</f>
        <v>0</v>
      </c>
      <c r="I31" s="177"/>
      <c r="J31" s="179">
        <f>+H31*E31</f>
        <v>0</v>
      </c>
      <c r="K31" s="17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91">
        <f t="shared" si="0"/>
        <v>18</v>
      </c>
      <c r="B32" s="182"/>
      <c r="C32" s="195" t="s">
        <v>7</v>
      </c>
      <c r="D32" s="14" t="str">
        <f>"(sum lines "&amp;A25&amp;" - "&amp;A31&amp;")"</f>
        <v>(sum lines 11 - 17)</v>
      </c>
      <c r="E32" s="177">
        <f>SUM(E25:E31)</f>
        <v>400645951.65932095</v>
      </c>
      <c r="F32" s="177"/>
      <c r="G32" s="177"/>
      <c r="H32" s="177"/>
      <c r="I32" s="177"/>
      <c r="J32" s="177">
        <f>SUM(J25:J31)</f>
        <v>41163809.846437566</v>
      </c>
      <c r="K32" s="17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191">
        <f t="shared" si="0"/>
        <v>19</v>
      </c>
      <c r="B33" s="182"/>
      <c r="C33" s="182"/>
      <c r="D33" s="177" t="s">
        <v>194</v>
      </c>
      <c r="E33" s="182"/>
      <c r="F33" s="177"/>
      <c r="G33" s="177"/>
      <c r="H33" s="180"/>
      <c r="I33" s="177"/>
      <c r="J33" s="182"/>
      <c r="K33" s="17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191">
        <f t="shared" si="0"/>
        <v>20</v>
      </c>
      <c r="B34" s="182"/>
      <c r="C34" s="195" t="s">
        <v>223</v>
      </c>
      <c r="D34" s="14" t="s">
        <v>420</v>
      </c>
      <c r="E34" s="177"/>
      <c r="F34" s="177"/>
      <c r="G34" s="177"/>
      <c r="H34" s="177"/>
      <c r="I34" s="177"/>
      <c r="J34" s="177"/>
      <c r="K34" s="17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>
      <c r="A35" s="191">
        <f t="shared" si="0"/>
        <v>21</v>
      </c>
      <c r="B35" s="182"/>
      <c r="C35" s="195" t="str">
        <f>+C25</f>
        <v xml:space="preserve">  Production</v>
      </c>
      <c r="D35" s="177" t="str">
        <f t="shared" ref="D35:D41" si="1">"(line "&amp;A15&amp;" - line "&amp;A25&amp;")"</f>
        <v>(line 1 - line 11)</v>
      </c>
      <c r="E35" s="177">
        <f t="shared" ref="E35:E42" si="2">E15-E25</f>
        <v>402447642.35364181</v>
      </c>
      <c r="F35" s="177"/>
      <c r="G35" s="177" t="s">
        <v>91</v>
      </c>
      <c r="H35" s="180"/>
      <c r="I35" s="177"/>
      <c r="J35" s="177" t="s">
        <v>194</v>
      </c>
      <c r="K35" s="17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>
      <c r="A36" s="191">
        <f t="shared" si="0"/>
        <v>22</v>
      </c>
      <c r="B36" s="182"/>
      <c r="C36" s="195" t="s">
        <v>215</v>
      </c>
      <c r="D36" s="177" t="str">
        <f t="shared" si="1"/>
        <v>(line 2 - line 12)</v>
      </c>
      <c r="E36" s="177">
        <f t="shared" si="2"/>
        <v>126788518.15665676</v>
      </c>
      <c r="F36" s="177"/>
      <c r="G36" s="177" t="s">
        <v>91</v>
      </c>
      <c r="H36" s="176"/>
      <c r="I36" s="177"/>
      <c r="J36" s="177">
        <f>J16-J26</f>
        <v>111333823.05566403</v>
      </c>
      <c r="K36" s="17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191">
        <f t="shared" si="0"/>
        <v>23</v>
      </c>
      <c r="B37" s="182"/>
      <c r="C37" s="195" t="s">
        <v>297</v>
      </c>
      <c r="D37" s="177" t="str">
        <f t="shared" si="1"/>
        <v>(line 3 - line 13)</v>
      </c>
      <c r="E37" s="177">
        <f t="shared" si="2"/>
        <v>237467634.93933871</v>
      </c>
      <c r="F37" s="177"/>
      <c r="G37" s="177" t="s">
        <v>91</v>
      </c>
      <c r="H37" s="180"/>
      <c r="I37" s="177"/>
      <c r="J37" s="177"/>
      <c r="K37" s="17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191">
        <f t="shared" si="0"/>
        <v>24</v>
      </c>
      <c r="B38" s="182"/>
      <c r="C38" s="195" t="str">
        <f>+C28</f>
        <v xml:space="preserve">  General &amp; Intangible</v>
      </c>
      <c r="D38" s="177" t="str">
        <f t="shared" si="1"/>
        <v>(line 4 - line 14)</v>
      </c>
      <c r="E38" s="177">
        <f t="shared" si="2"/>
        <v>20013009.912010372</v>
      </c>
      <c r="F38" s="177"/>
      <c r="G38" s="177" t="s">
        <v>91</v>
      </c>
      <c r="H38" s="180"/>
      <c r="I38" s="177"/>
      <c r="J38" s="177">
        <f>J18-J28</f>
        <v>2484655.0013214722</v>
      </c>
      <c r="K38" s="17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191">
        <f t="shared" si="0"/>
        <v>25</v>
      </c>
      <c r="B39" s="182"/>
      <c r="C39" s="195" t="s">
        <v>137</v>
      </c>
      <c r="D39" s="177" t="str">
        <f t="shared" si="1"/>
        <v>(line 5 - line 15)</v>
      </c>
      <c r="E39" s="177">
        <f t="shared" si="2"/>
        <v>14941223.222506592</v>
      </c>
      <c r="F39" s="177"/>
      <c r="G39" s="177" t="s">
        <v>91</v>
      </c>
      <c r="H39" s="180"/>
      <c r="I39" s="177"/>
      <c r="J39" s="177">
        <f>J19-J29</f>
        <v>1854982.5922677678</v>
      </c>
      <c r="K39" s="17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A40" s="191">
        <f t="shared" si="0"/>
        <v>26</v>
      </c>
      <c r="B40" s="182"/>
      <c r="C40" s="195" t="str">
        <f>+C30</f>
        <v xml:space="preserve">  Communication System</v>
      </c>
      <c r="D40" s="177" t="str">
        <f t="shared" si="1"/>
        <v>(line 6 - line 16)</v>
      </c>
      <c r="E40" s="177">
        <f t="shared" si="2"/>
        <v>3611603.3572442043</v>
      </c>
      <c r="F40" s="177"/>
      <c r="G40" s="177" t="s">
        <v>91</v>
      </c>
      <c r="H40" s="180"/>
      <c r="I40" s="177"/>
      <c r="J40" s="177">
        <f>J20-J30</f>
        <v>1085018.6747289146</v>
      </c>
      <c r="K40" s="17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.75" thickBot="1">
      <c r="A41" s="191">
        <f t="shared" si="0"/>
        <v>27</v>
      </c>
      <c r="B41" s="182"/>
      <c r="C41" s="195" t="str">
        <f>+C31</f>
        <v xml:space="preserve">  Common</v>
      </c>
      <c r="D41" s="177" t="str">
        <f t="shared" si="1"/>
        <v>(line 7 - line 17)</v>
      </c>
      <c r="E41" s="179">
        <f t="shared" si="2"/>
        <v>0</v>
      </c>
      <c r="F41" s="177"/>
      <c r="G41" s="177" t="s">
        <v>91</v>
      </c>
      <c r="H41" s="180"/>
      <c r="I41" s="177"/>
      <c r="J41" s="179">
        <f>J21-J31</f>
        <v>0</v>
      </c>
      <c r="K41" s="17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>
      <c r="A42" s="191">
        <f t="shared" si="0"/>
        <v>28</v>
      </c>
      <c r="B42" s="182"/>
      <c r="C42" s="195" t="s">
        <v>6</v>
      </c>
      <c r="D42" s="177" t="str">
        <f>"(sum lines "&amp;A35&amp;" - "&amp;A41&amp;")"</f>
        <v>(sum lines 21 - 27)</v>
      </c>
      <c r="E42" s="177">
        <f t="shared" si="2"/>
        <v>805269631.9413985</v>
      </c>
      <c r="F42" s="177"/>
      <c r="G42" s="177" t="s">
        <v>224</v>
      </c>
      <c r="H42" s="180">
        <f>IF(E42&gt;0,+J42/E42,0)</f>
        <v>0.14499302431471672</v>
      </c>
      <c r="I42" s="177"/>
      <c r="J42" s="177">
        <f>SUM(J35:J41)</f>
        <v>116758479.32398218</v>
      </c>
      <c r="K42" s="17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>
      <c r="A43" s="191">
        <f t="shared" si="0"/>
        <v>29</v>
      </c>
      <c r="B43" s="182"/>
      <c r="C43" s="182"/>
      <c r="D43" s="177"/>
      <c r="E43" s="181"/>
      <c r="F43" s="177"/>
      <c r="G43" s="182"/>
      <c r="H43" s="182"/>
      <c r="I43" s="177"/>
      <c r="J43" s="182"/>
      <c r="K43" s="17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>
      <c r="A44" s="191">
        <f t="shared" si="0"/>
        <v>30</v>
      </c>
      <c r="B44" s="182"/>
      <c r="C44" s="201" t="s">
        <v>39</v>
      </c>
      <c r="D44" s="14" t="s">
        <v>423</v>
      </c>
      <c r="E44" s="177"/>
      <c r="F44" s="177"/>
      <c r="G44" s="177"/>
      <c r="H44" s="177"/>
      <c r="I44" s="177"/>
      <c r="J44" s="177"/>
      <c r="K44" s="17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>
      <c r="A45" s="191">
        <f t="shared" si="0"/>
        <v>31</v>
      </c>
      <c r="B45" s="182"/>
      <c r="C45" s="195" t="s">
        <v>269</v>
      </c>
      <c r="D45" s="14" t="s">
        <v>225</v>
      </c>
      <c r="E45" s="181">
        <f>+'WP6 Rate Base'!G50</f>
        <v>0</v>
      </c>
      <c r="F45" s="177"/>
      <c r="G45" s="177" t="str">
        <f>+G25</f>
        <v>NA</v>
      </c>
      <c r="H45" s="183" t="s">
        <v>290</v>
      </c>
      <c r="I45" s="177"/>
      <c r="J45" s="181">
        <v>0</v>
      </c>
      <c r="K45" s="17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>
      <c r="A46" s="191">
        <f t="shared" si="0"/>
        <v>32</v>
      </c>
      <c r="B46" s="182"/>
      <c r="C46" s="195" t="s">
        <v>270</v>
      </c>
      <c r="D46" s="14" t="s">
        <v>227</v>
      </c>
      <c r="E46" s="374">
        <f>+'WP6 Rate Base'!G51</f>
        <v>-159853605.12966433</v>
      </c>
      <c r="F46" s="177"/>
      <c r="G46" s="177" t="s">
        <v>226</v>
      </c>
      <c r="H46" s="176">
        <f>+H42</f>
        <v>0.14499302431471672</v>
      </c>
      <c r="I46" s="177"/>
      <c r="J46" s="100">
        <f>E46*H46</f>
        <v>-23177657.655360546</v>
      </c>
      <c r="K46" s="177"/>
      <c r="L46" s="328" t="s">
        <v>482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>
      <c r="A47" s="191">
        <f t="shared" si="0"/>
        <v>33</v>
      </c>
      <c r="B47" s="182"/>
      <c r="C47" s="195" t="s">
        <v>271</v>
      </c>
      <c r="D47" s="14" t="s">
        <v>228</v>
      </c>
      <c r="E47" s="181">
        <f>+'WP6 Rate Base'!G52</f>
        <v>-26256576</v>
      </c>
      <c r="F47" s="177"/>
      <c r="G47" s="177" t="str">
        <f>+G46</f>
        <v>NP</v>
      </c>
      <c r="H47" s="176">
        <f>H42</f>
        <v>0.14499302431471672</v>
      </c>
      <c r="I47" s="177"/>
      <c r="J47" s="181">
        <f>E47*H47</f>
        <v>-3807020.3623892074</v>
      </c>
      <c r="K47" s="17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>
      <c r="A48" s="191">
        <f t="shared" si="0"/>
        <v>34</v>
      </c>
      <c r="B48" s="182"/>
      <c r="C48" s="195" t="s">
        <v>273</v>
      </c>
      <c r="D48" s="14" t="s">
        <v>229</v>
      </c>
      <c r="E48" s="100">
        <f>+'WP6 Rate Base'!G53</f>
        <v>22647198</v>
      </c>
      <c r="F48" s="177"/>
      <c r="G48" s="177" t="str">
        <f>+G47</f>
        <v>NP</v>
      </c>
      <c r="H48" s="176">
        <f>+H47</f>
        <v>0.14499302431471672</v>
      </c>
      <c r="I48" s="177"/>
      <c r="J48" s="181">
        <f>E48*H48</f>
        <v>3283685.7302742042</v>
      </c>
      <c r="K48" s="17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>
      <c r="A49" s="191">
        <f t="shared" si="0"/>
        <v>35</v>
      </c>
      <c r="B49" s="182"/>
      <c r="C49" s="182" t="s">
        <v>272</v>
      </c>
      <c r="D49" s="19" t="s">
        <v>124</v>
      </c>
      <c r="E49" s="181">
        <f>+'WP6 Rate Base'!G54</f>
        <v>0</v>
      </c>
      <c r="F49" s="177"/>
      <c r="G49" s="177" t="str">
        <f>+G48</f>
        <v>NP</v>
      </c>
      <c r="H49" s="176">
        <f>+H47</f>
        <v>0.14499302431471672</v>
      </c>
      <c r="I49" s="177"/>
      <c r="J49" s="184">
        <f>E49*H49</f>
        <v>0</v>
      </c>
      <c r="K49" s="177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5.75" thickBot="1">
      <c r="A50" s="191">
        <f t="shared" si="0"/>
        <v>36</v>
      </c>
      <c r="B50" s="182"/>
      <c r="C50" s="195" t="s">
        <v>292</v>
      </c>
      <c r="D50" s="19" t="s">
        <v>424</v>
      </c>
      <c r="E50" s="375">
        <f>+'WP6 Rate Base'!G55</f>
        <v>-47016465.698380969</v>
      </c>
      <c r="F50" s="177"/>
      <c r="G50" s="177" t="str">
        <f>+G49</f>
        <v>NP</v>
      </c>
      <c r="H50" s="176">
        <f>+H49</f>
        <v>0.14499302431471672</v>
      </c>
      <c r="I50" s="177"/>
      <c r="J50" s="185">
        <f>+H50*E50</f>
        <v>-6817059.5541973971</v>
      </c>
      <c r="K50" s="177"/>
      <c r="L50" s="328" t="s">
        <v>482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>
      <c r="A51" s="191">
        <f t="shared" si="0"/>
        <v>37</v>
      </c>
      <c r="B51" s="182"/>
      <c r="C51" s="195" t="s">
        <v>8</v>
      </c>
      <c r="D51" s="177" t="str">
        <f>"(sum lines "&amp;A45&amp;" - "&amp;A50&amp;")"</f>
        <v>(sum lines 31 - 36)</v>
      </c>
      <c r="E51" s="100">
        <f>SUM(E45:E50)</f>
        <v>-210479448.82804531</v>
      </c>
      <c r="F51" s="177"/>
      <c r="G51" s="177"/>
      <c r="H51" s="177"/>
      <c r="I51" s="177"/>
      <c r="J51" s="181">
        <f>SUM(J45:J50)</f>
        <v>-30518051.841672946</v>
      </c>
      <c r="K51" s="17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>
      <c r="A52" s="191">
        <f t="shared" si="0"/>
        <v>38</v>
      </c>
      <c r="B52" s="182"/>
      <c r="C52" s="182"/>
      <c r="D52" s="177"/>
      <c r="E52" s="182"/>
      <c r="F52" s="177"/>
      <c r="G52" s="177"/>
      <c r="H52" s="180"/>
      <c r="I52" s="177"/>
      <c r="J52" s="182"/>
      <c r="K52" s="17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>
      <c r="A53" s="191">
        <f t="shared" si="0"/>
        <v>39</v>
      </c>
      <c r="B53" s="182"/>
      <c r="C53" s="201" t="s">
        <v>230</v>
      </c>
      <c r="D53" s="177" t="s">
        <v>299</v>
      </c>
      <c r="E53" s="177">
        <f>+'WP6 Rate Base'!G58</f>
        <v>0</v>
      </c>
      <c r="F53" s="177"/>
      <c r="G53" s="177" t="s">
        <v>387</v>
      </c>
      <c r="H53" s="176">
        <v>0</v>
      </c>
      <c r="I53" s="177"/>
      <c r="J53" s="177">
        <f>+H53*E53</f>
        <v>0</v>
      </c>
      <c r="K53" s="17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>
      <c r="A54" s="191">
        <f t="shared" si="0"/>
        <v>40</v>
      </c>
      <c r="B54" s="182"/>
      <c r="C54" s="195"/>
      <c r="D54" s="177"/>
      <c r="E54" s="177"/>
      <c r="F54" s="177"/>
      <c r="G54" s="177"/>
      <c r="H54" s="177"/>
      <c r="I54" s="177"/>
      <c r="J54" s="177"/>
      <c r="K54" s="17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>
      <c r="A55" s="191">
        <f t="shared" si="0"/>
        <v>41</v>
      </c>
      <c r="B55" s="182"/>
      <c r="C55" s="195" t="s">
        <v>298</v>
      </c>
      <c r="D55" s="177" t="s">
        <v>194</v>
      </c>
      <c r="E55" s="177"/>
      <c r="F55" s="177"/>
      <c r="G55" s="177"/>
      <c r="H55" s="177"/>
      <c r="I55" s="177"/>
      <c r="J55" s="177"/>
      <c r="K55" s="17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>
      <c r="A56" s="191">
        <f t="shared" si="0"/>
        <v>42</v>
      </c>
      <c r="B56" s="182"/>
      <c r="C56" s="195" t="s">
        <v>289</v>
      </c>
      <c r="D56" s="182" t="str">
        <f>"(1/8 * line "&amp;A85&amp;")"</f>
        <v>(1/8 * line 58)</v>
      </c>
      <c r="E56" s="177">
        <f>+E85/8</f>
        <v>3522577.4688640004</v>
      </c>
      <c r="F56" s="177"/>
      <c r="G56" s="177" t="s">
        <v>91</v>
      </c>
      <c r="H56" s="180"/>
      <c r="I56" s="177"/>
      <c r="J56" s="177">
        <f>+J85/8</f>
        <v>608238.17812834098</v>
      </c>
      <c r="K56" s="18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>
      <c r="A57" s="191">
        <f t="shared" si="0"/>
        <v>43</v>
      </c>
      <c r="B57" s="182"/>
      <c r="C57" s="195" t="s">
        <v>358</v>
      </c>
      <c r="D57" s="14" t="s">
        <v>134</v>
      </c>
      <c r="E57" s="177">
        <f>+'WP6 Rate Base'!G62</f>
        <v>4594306.5</v>
      </c>
      <c r="F57" s="177"/>
      <c r="G57" s="177" t="s">
        <v>131</v>
      </c>
      <c r="H57" s="176">
        <f>+J181</f>
        <v>0.30042575759394208</v>
      </c>
      <c r="I57" s="177"/>
      <c r="J57" s="177">
        <f>+H57*E57</f>
        <v>1380248.0108812724</v>
      </c>
      <c r="K57" s="177" t="s">
        <v>194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>
      <c r="A58" s="191">
        <f t="shared" si="0"/>
        <v>44</v>
      </c>
      <c r="B58" s="182"/>
      <c r="C58" s="195" t="s">
        <v>358</v>
      </c>
      <c r="D58" s="14" t="s">
        <v>133</v>
      </c>
      <c r="E58" s="177">
        <f>+'WP6 Rate Base'!G63</f>
        <v>18350</v>
      </c>
      <c r="F58" s="177"/>
      <c r="G58" s="177" t="s">
        <v>200</v>
      </c>
      <c r="H58" s="176">
        <f>+J143</f>
        <v>0.86310600000000004</v>
      </c>
      <c r="I58" s="177"/>
      <c r="J58" s="177">
        <f>+H58*E58</f>
        <v>15837.9951</v>
      </c>
      <c r="K58" s="17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5.75" thickBot="1">
      <c r="A59" s="191">
        <f t="shared" si="0"/>
        <v>45</v>
      </c>
      <c r="B59" s="182"/>
      <c r="C59" s="195" t="s">
        <v>274</v>
      </c>
      <c r="D59" s="14" t="s">
        <v>425</v>
      </c>
      <c r="E59" s="197">
        <f>+'WP6 Rate Base'!G64</f>
        <v>3510315.2949999999</v>
      </c>
      <c r="F59" s="177"/>
      <c r="G59" s="177" t="s">
        <v>231</v>
      </c>
      <c r="H59" s="176">
        <f>+H22</f>
        <v>0.1309563383357919</v>
      </c>
      <c r="I59" s="177"/>
      <c r="J59" s="179">
        <f>+H59*E59</f>
        <v>459698.03743732517</v>
      </c>
      <c r="K59" s="17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>
      <c r="A60" s="191">
        <f t="shared" si="0"/>
        <v>46</v>
      </c>
      <c r="B60" s="182"/>
      <c r="C60" s="195" t="s">
        <v>9</v>
      </c>
      <c r="D60" s="177" t="str">
        <f>"(sum lines "&amp;A56&amp;" - "&amp;A59&amp;")"</f>
        <v>(sum lines 42 - 45)</v>
      </c>
      <c r="E60" s="14">
        <f>SUM(E56:E59)</f>
        <v>11645549.263863999</v>
      </c>
      <c r="F60" s="186"/>
      <c r="G60" s="186"/>
      <c r="H60" s="186"/>
      <c r="I60" s="186"/>
      <c r="J60" s="177">
        <f>SUM(J56:J59)</f>
        <v>2464022.2215469386</v>
      </c>
      <c r="K60" s="18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5.75" thickBot="1">
      <c r="A61" s="191">
        <f t="shared" si="0"/>
        <v>47</v>
      </c>
      <c r="B61" s="182"/>
      <c r="C61" s="182"/>
      <c r="D61" s="177"/>
      <c r="E61" s="277"/>
      <c r="F61" s="177"/>
      <c r="G61" s="177"/>
      <c r="H61" s="177"/>
      <c r="I61" s="177"/>
      <c r="J61" s="278"/>
      <c r="K61" s="17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5.75" thickBot="1">
      <c r="A62" s="191">
        <f t="shared" si="0"/>
        <v>48</v>
      </c>
      <c r="B62" s="182"/>
      <c r="C62" s="195" t="s">
        <v>10</v>
      </c>
      <c r="D62" s="177" t="str">
        <f>"(sum lines "&amp;A42&amp;", "&amp;A51&amp;", "&amp;A53&amp;", &amp; "&amp;A60&amp;")"</f>
        <v>(sum lines 28, 37, 39, &amp; 46)</v>
      </c>
      <c r="E62" s="189"/>
      <c r="F62" s="177"/>
      <c r="G62" s="177"/>
      <c r="H62" s="180"/>
      <c r="I62" s="177"/>
      <c r="J62" s="279">
        <f>+J60+J53+J51+J42</f>
        <v>88704449.70385617</v>
      </c>
      <c r="K62" s="17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5.75" thickTop="1">
      <c r="A63" s="191"/>
      <c r="B63" s="182"/>
      <c r="C63" s="195"/>
      <c r="D63" s="177"/>
      <c r="E63" s="189"/>
      <c r="F63" s="177"/>
      <c r="G63" s="177"/>
      <c r="H63" s="180"/>
      <c r="I63" s="198" t="s">
        <v>419</v>
      </c>
      <c r="J63" s="322">
        <f>J1</f>
        <v>43251</v>
      </c>
      <c r="K63" s="17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>
      <c r="A64" s="191"/>
      <c r="B64" s="182"/>
      <c r="C64" s="195"/>
      <c r="D64" s="177"/>
      <c r="E64" s="177"/>
      <c r="F64" s="177"/>
      <c r="G64" s="177"/>
      <c r="H64" s="194"/>
      <c r="I64" s="198" t="str">
        <f>$I$2</f>
        <v>Service Year</v>
      </c>
      <c r="J64" s="186">
        <f>$J$2</f>
        <v>2017</v>
      </c>
      <c r="K64" s="19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>
      <c r="A65" s="191"/>
      <c r="B65" s="182"/>
      <c r="C65" s="195"/>
      <c r="D65" s="177"/>
      <c r="E65" s="177"/>
      <c r="F65" s="177"/>
      <c r="G65" s="177"/>
      <c r="H65" s="177"/>
      <c r="I65" s="177"/>
      <c r="J65" s="177"/>
      <c r="K65" s="17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5.75">
      <c r="A66" s="385" t="s">
        <v>321</v>
      </c>
      <c r="B66" s="385"/>
      <c r="C66" s="385"/>
      <c r="D66" s="385"/>
      <c r="E66" s="385"/>
      <c r="F66" s="385"/>
      <c r="G66" s="385"/>
      <c r="H66" s="385"/>
      <c r="I66" s="385"/>
      <c r="J66" s="385"/>
      <c r="K66" s="38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5.75">
      <c r="A67" s="386" t="s">
        <v>195</v>
      </c>
      <c r="B67" s="386"/>
      <c r="C67" s="386"/>
      <c r="D67" s="386"/>
      <c r="E67" s="386"/>
      <c r="F67" s="386"/>
      <c r="G67" s="386"/>
      <c r="H67" s="386"/>
      <c r="I67" s="386"/>
      <c r="J67" s="386"/>
      <c r="K67" s="38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>
      <c r="A68" s="182"/>
      <c r="B68" s="182"/>
      <c r="C68" s="186"/>
      <c r="D68" s="186"/>
      <c r="E68" s="194"/>
      <c r="F68" s="186"/>
      <c r="G68" s="186"/>
      <c r="H68" s="186"/>
      <c r="I68" s="186"/>
      <c r="J68" s="186"/>
      <c r="K68" s="186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5.75">
      <c r="A69" s="387" t="s">
        <v>320</v>
      </c>
      <c r="B69" s="387"/>
      <c r="C69" s="387"/>
      <c r="D69" s="387"/>
      <c r="E69" s="387"/>
      <c r="F69" s="387"/>
      <c r="G69" s="387"/>
      <c r="H69" s="387"/>
      <c r="I69" s="387"/>
      <c r="J69" s="387"/>
      <c r="K69" s="38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>
      <c r="A70" s="191"/>
      <c r="B70" s="182"/>
      <c r="C70" s="271" t="s">
        <v>201</v>
      </c>
      <c r="D70" s="271" t="s">
        <v>202</v>
      </c>
      <c r="E70" s="271" t="s">
        <v>203</v>
      </c>
      <c r="F70" s="177" t="s">
        <v>194</v>
      </c>
      <c r="G70" s="177"/>
      <c r="H70" s="272" t="s">
        <v>204</v>
      </c>
      <c r="I70" s="177"/>
      <c r="J70" s="208" t="s">
        <v>205</v>
      </c>
      <c r="K70" s="17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>
      <c r="A71" s="191"/>
      <c r="B71" s="182"/>
      <c r="C71" s="271"/>
      <c r="D71" s="202"/>
      <c r="E71" s="202"/>
      <c r="F71" s="202"/>
      <c r="G71" s="202"/>
      <c r="H71" s="202"/>
      <c r="I71" s="202"/>
      <c r="J71" s="202"/>
      <c r="K71" s="20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5.75">
      <c r="A72" s="191" t="s">
        <v>196</v>
      </c>
      <c r="B72" s="182"/>
      <c r="C72" s="195"/>
      <c r="D72" s="257" t="s">
        <v>206</v>
      </c>
      <c r="E72" s="177"/>
      <c r="F72" s="177"/>
      <c r="G72" s="275" t="str">
        <f>+G10</f>
        <v xml:space="preserve">      Allocator</v>
      </c>
      <c r="H72" s="191"/>
      <c r="I72" s="177"/>
      <c r="J72" s="256" t="s">
        <v>207</v>
      </c>
      <c r="K72" s="17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6.5" thickBot="1">
      <c r="A73" s="200" t="s">
        <v>197</v>
      </c>
      <c r="B73" s="182"/>
      <c r="C73" s="195"/>
      <c r="D73" s="274" t="s">
        <v>208</v>
      </c>
      <c r="E73" s="256" t="s">
        <v>209</v>
      </c>
      <c r="F73" s="275"/>
      <c r="G73" s="276" t="str">
        <f>+G11</f>
        <v xml:space="preserve">        (page 4)</v>
      </c>
      <c r="H73" s="182"/>
      <c r="I73" s="275"/>
      <c r="J73" s="191" t="s">
        <v>210</v>
      </c>
      <c r="K73" s="17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5.75">
      <c r="A74" s="182"/>
      <c r="B74" s="182"/>
      <c r="C74" s="195"/>
      <c r="D74" s="177"/>
      <c r="E74" s="280"/>
      <c r="F74" s="281"/>
      <c r="G74" s="255"/>
      <c r="H74" s="182"/>
      <c r="I74" s="281"/>
      <c r="J74" s="280"/>
      <c r="K74" s="177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>
      <c r="A75" s="191"/>
      <c r="B75" s="182"/>
      <c r="C75" s="195" t="s">
        <v>232</v>
      </c>
      <c r="D75" s="177"/>
      <c r="E75" s="177"/>
      <c r="F75" s="177"/>
      <c r="G75" s="177"/>
      <c r="H75" s="177"/>
      <c r="I75" s="177"/>
      <c r="J75" s="177"/>
      <c r="K75" s="177"/>
      <c r="L75" s="1"/>
      <c r="M75" s="1"/>
      <c r="N75" s="328"/>
      <c r="O75" s="328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>
      <c r="A76" s="191">
        <f>+A62+1</f>
        <v>49</v>
      </c>
      <c r="B76" s="182"/>
      <c r="C76" s="195" t="s">
        <v>233</v>
      </c>
      <c r="D76" s="177" t="s">
        <v>138</v>
      </c>
      <c r="E76" s="383">
        <v>26590801</v>
      </c>
      <c r="F76" s="177"/>
      <c r="G76" s="177" t="s">
        <v>200</v>
      </c>
      <c r="H76" s="176">
        <f>+J143</f>
        <v>0.86310600000000004</v>
      </c>
      <c r="I76" s="177"/>
      <c r="J76" s="177">
        <f>+H76*E76</f>
        <v>22950679.887906</v>
      </c>
      <c r="K76" s="186"/>
      <c r="L76" s="328" t="s">
        <v>497</v>
      </c>
      <c r="M76" s="1"/>
      <c r="N76" s="328"/>
      <c r="O76" s="328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>
      <c r="A77" s="191">
        <f>+A76+1</f>
        <v>50</v>
      </c>
      <c r="B77" s="182"/>
      <c r="C77" s="195" t="s">
        <v>49</v>
      </c>
      <c r="D77" s="177" t="s">
        <v>438</v>
      </c>
      <c r="E77" s="383">
        <f>1022+1109647+221095+286421+810153+15039+8366+192942+21664406</f>
        <v>24309091</v>
      </c>
      <c r="F77" s="177"/>
      <c r="G77" s="177" t="str">
        <f>+G76</f>
        <v>TP</v>
      </c>
      <c r="H77" s="176">
        <f>+H76</f>
        <v>0.86310600000000004</v>
      </c>
      <c r="I77" s="177"/>
      <c r="J77" s="177">
        <f t="shared" ref="J77:J84" si="3">+H77*E77</f>
        <v>20981322.296646003</v>
      </c>
      <c r="K77" s="186"/>
      <c r="L77" s="328" t="s">
        <v>480</v>
      </c>
      <c r="M77" s="1"/>
      <c r="N77" s="328"/>
      <c r="O77" s="328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>
      <c r="A78" s="191">
        <f t="shared" ref="A78:A119" si="4">+A77+1</f>
        <v>51</v>
      </c>
      <c r="B78" s="182"/>
      <c r="C78" s="195" t="s">
        <v>234</v>
      </c>
      <c r="D78" s="177" t="s">
        <v>125</v>
      </c>
      <c r="E78" s="373">
        <f>27425659.34+L78</f>
        <v>27428765.990912002</v>
      </c>
      <c r="F78" s="177"/>
      <c r="G78" s="177" t="s">
        <v>218</v>
      </c>
      <c r="H78" s="176">
        <f>+H28</f>
        <v>0.12415198974295021</v>
      </c>
      <c r="I78" s="177"/>
      <c r="J78" s="177">
        <f t="shared" si="3"/>
        <v>3405335.8739654883</v>
      </c>
      <c r="K78" s="177"/>
      <c r="L78" s="332">
        <v>3106.6509119999996</v>
      </c>
      <c r="M78" s="1"/>
      <c r="N78" s="328"/>
      <c r="O78" s="328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>
      <c r="A79" s="191">
        <f t="shared" si="4"/>
        <v>52</v>
      </c>
      <c r="B79" s="182"/>
      <c r="C79" s="195" t="s">
        <v>46</v>
      </c>
      <c r="D79" s="177" t="s">
        <v>135</v>
      </c>
      <c r="E79" s="14">
        <v>364051</v>
      </c>
      <c r="F79" s="177"/>
      <c r="G79" s="312" t="s">
        <v>218</v>
      </c>
      <c r="H79" s="176">
        <v>1</v>
      </c>
      <c r="I79" s="177"/>
      <c r="J79" s="177">
        <f t="shared" si="3"/>
        <v>364051</v>
      </c>
      <c r="K79" s="177"/>
      <c r="L79" s="328" t="s">
        <v>497</v>
      </c>
      <c r="M79" s="1"/>
      <c r="N79" s="328"/>
      <c r="O79" s="328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>
      <c r="A80" s="191">
        <f t="shared" si="4"/>
        <v>53</v>
      </c>
      <c r="B80" s="182"/>
      <c r="C80" s="195" t="s">
        <v>293</v>
      </c>
      <c r="D80" s="177" t="s">
        <v>168</v>
      </c>
      <c r="E80" s="14">
        <v>227200</v>
      </c>
      <c r="F80" s="177"/>
      <c r="G80" s="177" t="str">
        <f>G78</f>
        <v>W/S</v>
      </c>
      <c r="H80" s="176">
        <f>H78</f>
        <v>0.12415198974295021</v>
      </c>
      <c r="I80" s="177"/>
      <c r="J80" s="177">
        <f t="shared" si="3"/>
        <v>28207.332069598287</v>
      </c>
      <c r="K80" s="177"/>
      <c r="L80" s="33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>
      <c r="A81" s="191">
        <f t="shared" si="4"/>
        <v>54</v>
      </c>
      <c r="B81" s="182"/>
      <c r="C81" s="195" t="s">
        <v>294</v>
      </c>
      <c r="D81" s="177" t="s">
        <v>169</v>
      </c>
      <c r="E81" s="14">
        <v>212741.24</v>
      </c>
      <c r="F81" s="177"/>
      <c r="G81" s="177" t="str">
        <f>+G80</f>
        <v>W/S</v>
      </c>
      <c r="H81" s="176">
        <f>+H80</f>
        <v>0.12415198974295021</v>
      </c>
      <c r="I81" s="177"/>
      <c r="J81" s="177">
        <f t="shared" si="3"/>
        <v>26412.248246382507</v>
      </c>
      <c r="K81" s="177"/>
      <c r="L81" s="33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>
      <c r="A82" s="191">
        <f t="shared" si="4"/>
        <v>55</v>
      </c>
      <c r="B82" s="182"/>
      <c r="C82" s="195" t="s">
        <v>48</v>
      </c>
      <c r="D82" s="177"/>
      <c r="E82" s="14">
        <v>1180264</v>
      </c>
      <c r="F82" s="177"/>
      <c r="G82" s="177" t="str">
        <f>G78</f>
        <v>W/S</v>
      </c>
      <c r="H82" s="176">
        <f>H78</f>
        <v>0.12415198974295021</v>
      </c>
      <c r="I82" s="177"/>
      <c r="J82" s="177">
        <f t="shared" si="3"/>
        <v>146532.12402197337</v>
      </c>
      <c r="K82" s="177"/>
      <c r="L82" s="33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>
      <c r="A83" s="191">
        <f t="shared" si="4"/>
        <v>56</v>
      </c>
      <c r="B83" s="182"/>
      <c r="C83" s="195" t="s">
        <v>47</v>
      </c>
      <c r="D83" s="177"/>
      <c r="E83" s="14">
        <v>0</v>
      </c>
      <c r="F83" s="177"/>
      <c r="G83" s="188" t="str">
        <f>+G76</f>
        <v>TP</v>
      </c>
      <c r="H83" s="176">
        <f>+H76</f>
        <v>0.86310600000000004</v>
      </c>
      <c r="I83" s="177"/>
      <c r="J83" s="177">
        <f>+H83*E83</f>
        <v>0</v>
      </c>
      <c r="K83" s="177"/>
      <c r="L83" s="33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5.75" thickBot="1">
      <c r="A84" s="191">
        <f t="shared" si="4"/>
        <v>57</v>
      </c>
      <c r="B84" s="182"/>
      <c r="C84" s="195" t="s">
        <v>219</v>
      </c>
      <c r="D84" s="177" t="str">
        <f>+D31</f>
        <v>356.1</v>
      </c>
      <c r="E84" s="20">
        <v>0</v>
      </c>
      <c r="F84" s="177"/>
      <c r="G84" s="177" t="s">
        <v>251</v>
      </c>
      <c r="H84" s="176">
        <f>+H31</f>
        <v>0</v>
      </c>
      <c r="I84" s="177"/>
      <c r="J84" s="179">
        <f t="shared" si="3"/>
        <v>0</v>
      </c>
      <c r="K84" s="177"/>
      <c r="L84" s="33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>
      <c r="A85" s="191">
        <f t="shared" si="4"/>
        <v>58</v>
      </c>
      <c r="B85" s="182"/>
      <c r="C85" s="195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77"/>
      <c r="E85" s="14">
        <f>+E76-E77+E78-E79-E82+E84+E83+E80-E81</f>
        <v>28180619.750912003</v>
      </c>
      <c r="F85" s="177"/>
      <c r="G85" s="177"/>
      <c r="H85" s="177"/>
      <c r="I85" s="177"/>
      <c r="J85" s="177">
        <f>+J76-J77+J78-J79-J82+J84+J83+J80-J81</f>
        <v>4865905.4250267278</v>
      </c>
      <c r="K85" s="17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>
      <c r="A86" s="191">
        <f t="shared" si="4"/>
        <v>59</v>
      </c>
      <c r="B86" s="182"/>
      <c r="C86" s="182"/>
      <c r="D86" s="177"/>
      <c r="E86" s="19"/>
      <c r="F86" s="177"/>
      <c r="G86" s="177"/>
      <c r="H86" s="177"/>
      <c r="I86" s="177"/>
      <c r="J86" s="182"/>
      <c r="K86" s="17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>
      <c r="A87" s="191">
        <f t="shared" si="4"/>
        <v>60</v>
      </c>
      <c r="B87" s="182"/>
      <c r="C87" s="195" t="s">
        <v>173</v>
      </c>
      <c r="D87" s="177"/>
      <c r="E87" s="14"/>
      <c r="F87" s="177"/>
      <c r="G87" s="177"/>
      <c r="H87" s="177"/>
      <c r="I87" s="177"/>
      <c r="J87" s="177"/>
      <c r="K87" s="17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>
      <c r="A88" s="191">
        <f t="shared" si="4"/>
        <v>61</v>
      </c>
      <c r="B88" s="182"/>
      <c r="C88" s="195" t="str">
        <f>+C16</f>
        <v xml:space="preserve">  Transmission</v>
      </c>
      <c r="D88" s="177" t="s">
        <v>439</v>
      </c>
      <c r="E88" s="14">
        <f>E16*'BHP WP5 Depreciation Rates'!H17</f>
        <v>3941332.7692763074</v>
      </c>
      <c r="F88" s="177"/>
      <c r="G88" s="177" t="s">
        <v>200</v>
      </c>
      <c r="H88" s="176">
        <f>+J143</f>
        <v>0.86310600000000004</v>
      </c>
      <c r="I88" s="177"/>
      <c r="J88" s="177">
        <f>+H88*E88</f>
        <v>3401787.9611589969</v>
      </c>
      <c r="K88" s="17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>
      <c r="A89" s="191">
        <f t="shared" si="4"/>
        <v>62</v>
      </c>
      <c r="B89" s="182"/>
      <c r="C89" s="195" t="s">
        <v>295</v>
      </c>
      <c r="D89" s="177" t="s">
        <v>440</v>
      </c>
      <c r="E89" s="14">
        <f>(E18+E20)*'BHP WP5 Depreciation Rates'!H31</f>
        <v>3345749.7036805381</v>
      </c>
      <c r="F89" s="177"/>
      <c r="G89" s="177" t="s">
        <v>218</v>
      </c>
      <c r="H89" s="176">
        <f>H78</f>
        <v>0.12415198974295021</v>
      </c>
      <c r="I89" s="177"/>
      <c r="J89" s="177">
        <f>+H89*E89</f>
        <v>415381.48289382487</v>
      </c>
      <c r="K89" s="17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5.75" thickBot="1">
      <c r="A90" s="191">
        <f t="shared" si="4"/>
        <v>63</v>
      </c>
      <c r="B90" s="182"/>
      <c r="C90" s="195" t="str">
        <f>+C84</f>
        <v xml:space="preserve">  Common</v>
      </c>
      <c r="D90" s="177" t="s">
        <v>126</v>
      </c>
      <c r="E90" s="20">
        <v>0</v>
      </c>
      <c r="F90" s="177"/>
      <c r="G90" s="177" t="s">
        <v>251</v>
      </c>
      <c r="H90" s="176">
        <f>+H84</f>
        <v>0</v>
      </c>
      <c r="I90" s="177"/>
      <c r="J90" s="179">
        <f>+H90*E90</f>
        <v>0</v>
      </c>
      <c r="K90" s="17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>
      <c r="A91" s="191">
        <f t="shared" si="4"/>
        <v>64</v>
      </c>
      <c r="B91" s="182"/>
      <c r="C91" s="195" t="str">
        <f>"TOTAL DEPRECIATION (Sum lines "&amp;A88&amp;" - "&amp;A90&amp;")"</f>
        <v>TOTAL DEPRECIATION (Sum lines 61 - 63)</v>
      </c>
      <c r="D91" s="177"/>
      <c r="E91" s="14">
        <f>SUM(E88:E90)</f>
        <v>7287082.4729568455</v>
      </c>
      <c r="F91" s="177"/>
      <c r="G91" s="177"/>
      <c r="H91" s="177"/>
      <c r="I91" s="177"/>
      <c r="J91" s="177">
        <f>SUM(J88:J90)</f>
        <v>3817169.444052822</v>
      </c>
      <c r="K91" s="17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>
      <c r="A92" s="191">
        <f t="shared" si="4"/>
        <v>65</v>
      </c>
      <c r="B92" s="182"/>
      <c r="C92" s="195"/>
      <c r="D92" s="177"/>
      <c r="E92" s="14"/>
      <c r="F92" s="177"/>
      <c r="G92" s="177"/>
      <c r="H92" s="177"/>
      <c r="I92" s="177"/>
      <c r="J92" s="177"/>
      <c r="K92" s="17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>
      <c r="A93" s="191">
        <f t="shared" si="4"/>
        <v>66</v>
      </c>
      <c r="B93" s="182"/>
      <c r="C93" s="195" t="s">
        <v>89</v>
      </c>
      <c r="D93" s="182"/>
      <c r="E93" s="14"/>
      <c r="F93" s="177"/>
      <c r="G93" s="177"/>
      <c r="H93" s="177"/>
      <c r="I93" s="177"/>
      <c r="J93" s="177"/>
      <c r="K93" s="17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>
      <c r="A94" s="191">
        <f t="shared" si="4"/>
        <v>67</v>
      </c>
      <c r="B94" s="182"/>
      <c r="C94" s="195" t="s">
        <v>235</v>
      </c>
      <c r="D94" s="182"/>
      <c r="E94" s="357"/>
      <c r="F94" s="177"/>
      <c r="G94" s="177"/>
      <c r="H94" s="182"/>
      <c r="I94" s="177"/>
      <c r="J94" s="182"/>
      <c r="K94" s="17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>
      <c r="A95" s="191">
        <f t="shared" si="4"/>
        <v>68</v>
      </c>
      <c r="B95" s="182"/>
      <c r="C95" s="195" t="s">
        <v>236</v>
      </c>
      <c r="D95" s="312" t="s">
        <v>441</v>
      </c>
      <c r="E95" s="14">
        <v>31712</v>
      </c>
      <c r="F95" s="177"/>
      <c r="G95" s="177" t="s">
        <v>218</v>
      </c>
      <c r="H95" s="190">
        <f>+J175</f>
        <v>0.12415198974295021</v>
      </c>
      <c r="I95" s="177"/>
      <c r="J95" s="177">
        <f>+H95*E95</f>
        <v>3937.1078987284368</v>
      </c>
      <c r="K95" s="17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>
      <c r="A96" s="191">
        <f t="shared" si="4"/>
        <v>69</v>
      </c>
      <c r="B96" s="182"/>
      <c r="C96" s="195" t="s">
        <v>237</v>
      </c>
      <c r="D96" s="177" t="s">
        <v>75</v>
      </c>
      <c r="E96" s="14">
        <v>0</v>
      </c>
      <c r="F96" s="177"/>
      <c r="G96" s="177" t="str">
        <f>+G95</f>
        <v>W/S</v>
      </c>
      <c r="H96" s="190">
        <f>+H95</f>
        <v>0.12415198974295021</v>
      </c>
      <c r="I96" s="177"/>
      <c r="J96" s="177">
        <f>+H96*E96</f>
        <v>0</v>
      </c>
      <c r="K96" s="17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>
      <c r="A97" s="191">
        <f t="shared" si="4"/>
        <v>70</v>
      </c>
      <c r="B97" s="182"/>
      <c r="C97" s="195" t="s">
        <v>238</v>
      </c>
      <c r="D97" s="177" t="s">
        <v>194</v>
      </c>
      <c r="E97" s="14"/>
      <c r="F97" s="177"/>
      <c r="G97" s="177"/>
      <c r="H97" s="182"/>
      <c r="I97" s="177"/>
      <c r="J97" s="182"/>
      <c r="K97" s="17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>
      <c r="A98" s="191">
        <f t="shared" si="4"/>
        <v>71</v>
      </c>
      <c r="B98" s="182"/>
      <c r="C98" s="195" t="s">
        <v>239</v>
      </c>
      <c r="D98" s="177" t="s">
        <v>442</v>
      </c>
      <c r="E98" s="14">
        <v>7043598</v>
      </c>
      <c r="F98" s="177"/>
      <c r="G98" s="177" t="s">
        <v>231</v>
      </c>
      <c r="H98" s="190">
        <f>+H22</f>
        <v>0.1309563383357919</v>
      </c>
      <c r="I98" s="177"/>
      <c r="J98" s="177">
        <f>+H98*E98</f>
        <v>922403.8027893072</v>
      </c>
      <c r="K98" s="17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>
      <c r="A99" s="191">
        <f t="shared" si="4"/>
        <v>72</v>
      </c>
      <c r="B99" s="182"/>
      <c r="C99" s="195" t="s">
        <v>240</v>
      </c>
      <c r="D99" s="177" t="s">
        <v>75</v>
      </c>
      <c r="E99" s="14">
        <v>0</v>
      </c>
      <c r="F99" s="177"/>
      <c r="G99" s="177" t="str">
        <f>+G45</f>
        <v>NA</v>
      </c>
      <c r="H99" s="282" t="s">
        <v>290</v>
      </c>
      <c r="I99" s="177"/>
      <c r="J99" s="177">
        <v>0</v>
      </c>
      <c r="K99" s="17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5.75" thickBot="1">
      <c r="A100" s="191">
        <f t="shared" si="4"/>
        <v>73</v>
      </c>
      <c r="B100" s="182"/>
      <c r="C100" s="195" t="s">
        <v>241</v>
      </c>
      <c r="D100" s="177" t="str">
        <f>+D99</f>
        <v>263.i</v>
      </c>
      <c r="E100" s="20">
        <v>0</v>
      </c>
      <c r="F100" s="177"/>
      <c r="G100" s="177" t="str">
        <f>+G98</f>
        <v>GP</v>
      </c>
      <c r="H100" s="190">
        <f>+H98</f>
        <v>0.1309563383357919</v>
      </c>
      <c r="I100" s="177"/>
      <c r="J100" s="179">
        <f>+H100*E100</f>
        <v>0</v>
      </c>
      <c r="K100" s="17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>
      <c r="A101" s="191">
        <f t="shared" si="4"/>
        <v>74</v>
      </c>
      <c r="B101" s="182"/>
      <c r="C101" s="195" t="str">
        <f>"TOTAL OTHER TAXES  (sum lines "&amp;A95&amp;" - "&amp;A100&amp;")"</f>
        <v>TOTAL OTHER TAXES  (sum lines 68 - 73)</v>
      </c>
      <c r="D101" s="177"/>
      <c r="E101" s="177">
        <f>SUM(E95:E100)</f>
        <v>7075310</v>
      </c>
      <c r="F101" s="177"/>
      <c r="G101" s="177"/>
      <c r="H101" s="190"/>
      <c r="I101" s="177"/>
      <c r="J101" s="177">
        <f>SUM(J95:J100)</f>
        <v>926340.91068803566</v>
      </c>
      <c r="K101" s="17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>
      <c r="A102" s="191">
        <f t="shared" si="4"/>
        <v>75</v>
      </c>
      <c r="B102" s="182"/>
      <c r="C102" s="195"/>
      <c r="D102" s="177"/>
      <c r="E102" s="177"/>
      <c r="F102" s="177"/>
      <c r="G102" s="177"/>
      <c r="H102" s="190"/>
      <c r="I102" s="177"/>
      <c r="J102" s="177"/>
      <c r="K102" s="17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>
      <c r="A103" s="191">
        <f t="shared" si="4"/>
        <v>76</v>
      </c>
      <c r="B103" s="182"/>
      <c r="C103" s="195"/>
      <c r="D103" s="177"/>
      <c r="E103" s="177"/>
      <c r="F103" s="177"/>
      <c r="G103" s="177"/>
      <c r="H103" s="190"/>
      <c r="I103" s="177"/>
      <c r="J103" s="177"/>
      <c r="K103" s="17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>
      <c r="A104" s="191">
        <f t="shared" si="4"/>
        <v>77</v>
      </c>
      <c r="B104" s="182"/>
      <c r="C104" s="195" t="s">
        <v>242</v>
      </c>
      <c r="D104" s="177" t="s">
        <v>88</v>
      </c>
      <c r="E104" s="177"/>
      <c r="F104" s="177"/>
      <c r="G104" s="182"/>
      <c r="H104" s="193"/>
      <c r="I104" s="177"/>
      <c r="J104" s="182"/>
      <c r="K104" s="17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>
      <c r="A105" s="191">
        <f t="shared" si="4"/>
        <v>78</v>
      </c>
      <c r="B105" s="182"/>
      <c r="C105" s="283" t="s">
        <v>286</v>
      </c>
      <c r="D105" s="177"/>
      <c r="E105" s="284">
        <f>IF(E232&gt;0,1-(((1-E233)*(1-E232))/(1-E233*E232*E234)),0)</f>
        <v>0.35</v>
      </c>
      <c r="F105" s="177"/>
      <c r="G105" s="182"/>
      <c r="H105" s="193"/>
      <c r="I105" s="177"/>
      <c r="J105" s="182"/>
      <c r="K105" s="17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>
      <c r="A106" s="191">
        <f t="shared" si="4"/>
        <v>79</v>
      </c>
      <c r="B106" s="182"/>
      <c r="C106" s="182" t="s">
        <v>287</v>
      </c>
      <c r="D106" s="177"/>
      <c r="E106" s="284">
        <f>IF(J199&gt;0,(E105/(1-E105))*(1-J196/J199),0)</f>
        <v>0.37856566150720883</v>
      </c>
      <c r="F106" s="177"/>
      <c r="G106" s="182"/>
      <c r="H106" s="193"/>
      <c r="I106" s="177"/>
      <c r="J106" s="182"/>
      <c r="K106" s="17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>
      <c r="A107" s="191">
        <f t="shared" si="4"/>
        <v>80</v>
      </c>
      <c r="B107" s="182"/>
      <c r="C107" s="195" t="str">
        <f>"       where WCLTD=(line "&amp;A196&amp;") and R= (line "&amp;A199&amp;")"</f>
        <v xml:space="preserve">       where WCLTD=(line 154) and R= (line 157)</v>
      </c>
      <c r="D107" s="177"/>
      <c r="E107" s="177"/>
      <c r="F107" s="177"/>
      <c r="G107" s="182"/>
      <c r="H107" s="193"/>
      <c r="I107" s="177"/>
      <c r="J107" s="182"/>
      <c r="K107" s="17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>
      <c r="A108" s="191">
        <f t="shared" si="4"/>
        <v>81</v>
      </c>
      <c r="B108" s="182"/>
      <c r="C108" s="195" t="s">
        <v>90</v>
      </c>
      <c r="D108" s="177"/>
      <c r="E108" s="177"/>
      <c r="F108" s="177"/>
      <c r="G108" s="182"/>
      <c r="H108" s="193"/>
      <c r="I108" s="177"/>
      <c r="J108" s="182"/>
      <c r="K108" s="17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>
      <c r="A109" s="191">
        <f t="shared" si="4"/>
        <v>82</v>
      </c>
      <c r="B109" s="182"/>
      <c r="C109" s="283"/>
      <c r="D109" s="177"/>
      <c r="E109" s="285"/>
      <c r="F109" s="177"/>
      <c r="G109" s="182"/>
      <c r="H109" s="193"/>
      <c r="I109" s="177"/>
      <c r="J109" s="182"/>
      <c r="K109" s="17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>
      <c r="A110" s="191">
        <f t="shared" si="4"/>
        <v>83</v>
      </c>
      <c r="B110" s="182"/>
      <c r="C110" s="192" t="s">
        <v>276</v>
      </c>
      <c r="D110" s="182" t="str">
        <f>"(line "&amp;A106&amp;" * line "&amp;A113&amp;")"</f>
        <v>(line 79 * line 86)</v>
      </c>
      <c r="E110" s="331"/>
      <c r="F110" s="177"/>
      <c r="G110" s="177" t="s">
        <v>194</v>
      </c>
      <c r="H110" s="190" t="s">
        <v>194</v>
      </c>
      <c r="I110" s="177"/>
      <c r="J110" s="14">
        <f>E106*J112</f>
        <v>2940347.8051065914</v>
      </c>
      <c r="K110" s="17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>
      <c r="A111" s="191">
        <f t="shared" si="4"/>
        <v>84</v>
      </c>
      <c r="B111" s="182"/>
      <c r="C111" s="287"/>
      <c r="D111" s="288"/>
      <c r="E111" s="177"/>
      <c r="F111" s="177"/>
      <c r="G111" s="177"/>
      <c r="H111" s="190"/>
      <c r="I111" s="177"/>
      <c r="J111" s="177"/>
      <c r="K111" s="17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>
      <c r="A112" s="191">
        <f t="shared" si="4"/>
        <v>85</v>
      </c>
      <c r="B112" s="182"/>
      <c r="C112" s="195" t="s">
        <v>243</v>
      </c>
      <c r="D112" s="180"/>
      <c r="E112" s="177"/>
      <c r="F112" s="177"/>
      <c r="G112" s="177" t="s">
        <v>91</v>
      </c>
      <c r="H112" s="193"/>
      <c r="I112" s="177"/>
      <c r="J112" s="177">
        <f>+$J199*J62</f>
        <v>7767074.7880301345</v>
      </c>
      <c r="K112" s="17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7.25" customHeight="1">
      <c r="A113" s="191">
        <f t="shared" si="4"/>
        <v>86</v>
      </c>
      <c r="B113" s="182"/>
      <c r="C113" s="192" t="str">
        <f>"  [ Rate Base (line "&amp;A62&amp;") * R (line "&amp;A199&amp;")]"</f>
        <v xml:space="preserve">  [ Rate Base (line 48) * R (line 157)]</v>
      </c>
      <c r="D113" s="182"/>
      <c r="E113" s="177"/>
      <c r="F113" s="177"/>
      <c r="G113" s="177"/>
      <c r="H113" s="193"/>
      <c r="I113" s="177"/>
      <c r="J113" s="177"/>
      <c r="K113" s="17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>
      <c r="A114" s="191">
        <f t="shared" si="4"/>
        <v>87</v>
      </c>
      <c r="B114" s="182"/>
      <c r="C114" s="195"/>
      <c r="D114" s="182"/>
      <c r="E114" s="189"/>
      <c r="F114" s="177"/>
      <c r="G114" s="177"/>
      <c r="H114" s="193"/>
      <c r="I114" s="177"/>
      <c r="J114" s="189"/>
      <c r="K114" s="17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5.75" thickBot="1">
      <c r="A115" s="191">
        <f t="shared" si="4"/>
        <v>88</v>
      </c>
      <c r="B115" s="182"/>
      <c r="C115" s="195" t="str">
        <f>"REVENUE REQUIREMENT  (sum lines "&amp;A85&amp;", "&amp;A91&amp;", "&amp;A101&amp;", "&amp;A110&amp;", "&amp;A112&amp;")"</f>
        <v>REVENUE REQUIREMENT  (sum lines 58, 64, 74, 83, 85)</v>
      </c>
      <c r="D115" s="177"/>
      <c r="E115" s="196">
        <f>E110+E101+E91+E85</f>
        <v>42543012.223868847</v>
      </c>
      <c r="F115" s="177"/>
      <c r="G115" s="177"/>
      <c r="H115" s="177"/>
      <c r="I115" s="177"/>
      <c r="J115" s="358">
        <f>J110+J101+J91+J85+J112</f>
        <v>20316838.372904312</v>
      </c>
      <c r="K115" s="18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5.75" thickTop="1">
      <c r="A116" s="191">
        <f t="shared" si="4"/>
        <v>89</v>
      </c>
      <c r="B116" s="182"/>
      <c r="C116" s="182"/>
      <c r="D116" s="182"/>
      <c r="E116" s="182"/>
      <c r="F116" s="182"/>
      <c r="G116" s="182"/>
      <c r="H116" s="182"/>
      <c r="I116" s="182"/>
      <c r="J116" s="182"/>
      <c r="K116" s="17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>
      <c r="A117" s="191">
        <f t="shared" si="4"/>
        <v>90</v>
      </c>
      <c r="B117" s="182"/>
      <c r="C117" s="195" t="s">
        <v>435</v>
      </c>
      <c r="D117" s="182"/>
      <c r="E117" s="182"/>
      <c r="F117" s="182"/>
      <c r="G117" s="182"/>
      <c r="H117" s="182"/>
      <c r="I117" s="182"/>
      <c r="J117" s="197">
        <v>18009894.594474394</v>
      </c>
      <c r="K117" s="17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>
      <c r="A118" s="191">
        <f t="shared" si="4"/>
        <v>91</v>
      </c>
      <c r="B118" s="182"/>
      <c r="C118" s="182"/>
      <c r="D118" s="182"/>
      <c r="E118" s="182"/>
      <c r="F118" s="182"/>
      <c r="G118" s="182"/>
      <c r="H118" s="182"/>
      <c r="I118" s="182"/>
      <c r="J118" s="182"/>
      <c r="K118" s="17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5.75" thickBot="1">
      <c r="A119" s="191">
        <f t="shared" si="4"/>
        <v>92</v>
      </c>
      <c r="B119" s="182"/>
      <c r="C119" s="182" t="str">
        <f>"TRUE-UP AMOUNT TO BE (REFUNDED)/PAID (line "&amp;A115&amp;" - line "&amp;A117&amp;")"</f>
        <v>TRUE-UP AMOUNT TO BE (REFUNDED)/PAID (line 88 - line 90)</v>
      </c>
      <c r="D119" s="182"/>
      <c r="E119" s="182"/>
      <c r="F119" s="182"/>
      <c r="G119" s="182"/>
      <c r="H119" s="182"/>
      <c r="I119" s="182"/>
      <c r="J119" s="196">
        <f>+J115-J117</f>
        <v>2306943.778429918</v>
      </c>
      <c r="K119" s="17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5.75" thickTop="1">
      <c r="A120" s="191"/>
      <c r="B120" s="182"/>
      <c r="C120" s="182"/>
      <c r="D120" s="182"/>
      <c r="E120" s="182"/>
      <c r="F120" s="182"/>
      <c r="G120" s="182"/>
      <c r="H120" s="182"/>
      <c r="I120" s="182"/>
      <c r="J120" s="182"/>
      <c r="K120" s="17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>
      <c r="A121" s="191"/>
      <c r="B121" s="182"/>
      <c r="C121" s="182"/>
      <c r="D121" s="182"/>
      <c r="E121" s="182"/>
      <c r="F121" s="182"/>
      <c r="G121" s="182"/>
      <c r="H121" s="182"/>
      <c r="I121" s="182"/>
      <c r="J121" s="182"/>
      <c r="K121" s="17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>
      <c r="A122" s="191"/>
      <c r="B122" s="182"/>
      <c r="C122" s="182"/>
      <c r="D122" s="182"/>
      <c r="E122" s="182"/>
      <c r="F122" s="182"/>
      <c r="G122" s="182"/>
      <c r="H122" s="182"/>
      <c r="I122" s="198" t="s">
        <v>419</v>
      </c>
      <c r="J122" s="321">
        <f>J1</f>
        <v>43251</v>
      </c>
      <c r="K122" s="17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>
      <c r="A123" s="191"/>
      <c r="B123" s="182"/>
      <c r="C123" s="182"/>
      <c r="D123" s="182"/>
      <c r="E123" s="182"/>
      <c r="F123" s="182"/>
      <c r="G123" s="182"/>
      <c r="H123" s="194"/>
      <c r="I123" s="198" t="str">
        <f>$I$2</f>
        <v>Service Year</v>
      </c>
      <c r="J123" s="186">
        <f>$J$2</f>
        <v>2017</v>
      </c>
      <c r="K123" s="19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>
      <c r="A124" s="191"/>
      <c r="B124" s="182"/>
      <c r="C124" s="182"/>
      <c r="D124" s="182"/>
      <c r="E124" s="182"/>
      <c r="F124" s="182"/>
      <c r="G124" s="182"/>
      <c r="H124" s="182"/>
      <c r="I124" s="182"/>
      <c r="J124" s="182"/>
      <c r="K124" s="17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5.75">
      <c r="A125" s="385" t="s">
        <v>321</v>
      </c>
      <c r="B125" s="385"/>
      <c r="C125" s="385"/>
      <c r="D125" s="385"/>
      <c r="E125" s="385"/>
      <c r="F125" s="385"/>
      <c r="G125" s="385"/>
      <c r="H125" s="385"/>
      <c r="I125" s="385"/>
      <c r="J125" s="385"/>
      <c r="K125" s="38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5.75">
      <c r="A126" s="386" t="s">
        <v>195</v>
      </c>
      <c r="B126" s="386"/>
      <c r="C126" s="386"/>
      <c r="D126" s="386"/>
      <c r="E126" s="386"/>
      <c r="F126" s="386"/>
      <c r="G126" s="386"/>
      <c r="H126" s="386"/>
      <c r="I126" s="386"/>
      <c r="J126" s="386"/>
      <c r="K126" s="38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>
      <c r="A127" s="182"/>
      <c r="B127" s="182"/>
      <c r="C127" s="186"/>
      <c r="D127" s="186"/>
      <c r="E127" s="194"/>
      <c r="F127" s="186"/>
      <c r="G127" s="186"/>
      <c r="H127" s="186"/>
      <c r="I127" s="186"/>
      <c r="J127" s="186"/>
      <c r="K127" s="186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5.75">
      <c r="A128" s="387" t="s">
        <v>320</v>
      </c>
      <c r="B128" s="387"/>
      <c r="C128" s="387"/>
      <c r="D128" s="387"/>
      <c r="E128" s="387"/>
      <c r="F128" s="387"/>
      <c r="G128" s="387"/>
      <c r="H128" s="387"/>
      <c r="I128" s="387"/>
      <c r="J128" s="387"/>
      <c r="K128" s="38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>
      <c r="A129" s="191"/>
      <c r="B129" s="182"/>
      <c r="C129" s="182"/>
      <c r="D129" s="195"/>
      <c r="E129" s="195"/>
      <c r="F129" s="195"/>
      <c r="G129" s="195"/>
      <c r="H129" s="195"/>
      <c r="I129" s="195"/>
      <c r="J129" s="195"/>
      <c r="K129" s="19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5.75">
      <c r="A130" s="388" t="s">
        <v>3</v>
      </c>
      <c r="B130" s="388"/>
      <c r="C130" s="388"/>
      <c r="D130" s="388"/>
      <c r="E130" s="388"/>
      <c r="F130" s="388"/>
      <c r="G130" s="388"/>
      <c r="H130" s="388"/>
      <c r="I130" s="388"/>
      <c r="J130" s="388"/>
      <c r="K130" s="38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5.75">
      <c r="A131" s="191"/>
      <c r="B131" s="182"/>
      <c r="C131" s="199"/>
      <c r="D131" s="186"/>
      <c r="E131" s="186"/>
      <c r="F131" s="186"/>
      <c r="G131" s="186"/>
      <c r="H131" s="186"/>
      <c r="I131" s="186"/>
      <c r="J131" s="186"/>
      <c r="K131" s="17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5.75">
      <c r="A132" s="191" t="s">
        <v>196</v>
      </c>
      <c r="B132" s="182"/>
      <c r="C132" s="199"/>
      <c r="D132" s="186"/>
      <c r="E132" s="186"/>
      <c r="F132" s="186"/>
      <c r="G132" s="186"/>
      <c r="H132" s="186"/>
      <c r="I132" s="186"/>
      <c r="J132" s="186"/>
      <c r="K132" s="17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5.75" thickBot="1">
      <c r="A133" s="200" t="s">
        <v>197</v>
      </c>
      <c r="B133" s="182"/>
      <c r="C133" s="201" t="s">
        <v>117</v>
      </c>
      <c r="D133" s="186"/>
      <c r="E133" s="186"/>
      <c r="F133" s="186"/>
      <c r="G133" s="186"/>
      <c r="H133" s="186"/>
      <c r="I133" s="182"/>
      <c r="J133" s="182"/>
      <c r="K133" s="17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5.75" thickBot="1">
      <c r="A134" s="191"/>
      <c r="B134" s="182"/>
      <c r="C134" s="201"/>
      <c r="D134" s="186"/>
      <c r="E134" s="179" t="s">
        <v>0</v>
      </c>
      <c r="F134" s="186"/>
      <c r="G134" s="186"/>
      <c r="H134" s="186"/>
      <c r="I134" s="186"/>
      <c r="J134" s="186"/>
      <c r="K134" s="17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6.5" customHeight="1">
      <c r="A135" s="191">
        <f>+A119+1</f>
        <v>93</v>
      </c>
      <c r="B135" s="182"/>
      <c r="C135" s="202" t="s">
        <v>105</v>
      </c>
      <c r="D135" s="186"/>
      <c r="E135" s="312" t="str">
        <f>"Column (3) line "&amp;A16&amp;""</f>
        <v>Column (3) line 2</v>
      </c>
      <c r="F135" s="177"/>
      <c r="G135" s="177"/>
      <c r="H135" s="177"/>
      <c r="I135" s="177"/>
      <c r="J135" s="177">
        <f>+E16</f>
        <v>169885033.15846154</v>
      </c>
      <c r="K135" s="17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>
      <c r="A136" s="191">
        <f>+A135+1</f>
        <v>94</v>
      </c>
      <c r="B136" s="182"/>
      <c r="C136" s="202" t="s">
        <v>86</v>
      </c>
      <c r="D136" s="182"/>
      <c r="E136" s="182" t="s">
        <v>170</v>
      </c>
      <c r="F136" s="182"/>
      <c r="G136" s="182"/>
      <c r="H136" s="182"/>
      <c r="I136" s="182"/>
      <c r="J136" s="14">
        <v>24620434.659539968</v>
      </c>
      <c r="K136" s="17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5.75" thickBot="1">
      <c r="A137" s="191">
        <f t="shared" ref="A137:A199" si="5">+A136+1</f>
        <v>95</v>
      </c>
      <c r="B137" s="182"/>
      <c r="C137" s="203" t="s">
        <v>87</v>
      </c>
      <c r="D137" s="204"/>
      <c r="E137" s="179" t="s">
        <v>170</v>
      </c>
      <c r="F137" s="177"/>
      <c r="G137" s="177"/>
      <c r="H137" s="187"/>
      <c r="I137" s="177"/>
      <c r="J137" s="179">
        <v>0</v>
      </c>
      <c r="K137" s="17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>
      <c r="A138" s="191">
        <f t="shared" si="5"/>
        <v>96</v>
      </c>
      <c r="B138" s="182"/>
      <c r="C138" s="20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186"/>
      <c r="E138" s="177"/>
      <c r="F138" s="177"/>
      <c r="G138" s="177"/>
      <c r="H138" s="187"/>
      <c r="I138" s="177"/>
      <c r="J138" s="177">
        <f>J135-J136-J137</f>
        <v>145264598.49892157</v>
      </c>
      <c r="K138" s="17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>
      <c r="A139" s="191">
        <f t="shared" si="5"/>
        <v>97</v>
      </c>
      <c r="B139" s="182"/>
      <c r="C139" s="202" t="str">
        <f>"Plus Common Use AC Facilities (line "&amp;A149&amp;")"</f>
        <v>Plus Common Use AC Facilities (line 107)</v>
      </c>
      <c r="D139" s="186"/>
      <c r="E139" s="177"/>
      <c r="F139" s="177"/>
      <c r="G139" s="177"/>
      <c r="H139" s="187"/>
      <c r="I139" s="177"/>
      <c r="J139" s="177">
        <f>+J149</f>
        <v>9965585.1699999981</v>
      </c>
      <c r="K139" s="17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>
      <c r="A140" s="191">
        <f t="shared" si="5"/>
        <v>98</v>
      </c>
      <c r="B140" s="182"/>
      <c r="C140" s="202" t="str">
        <f>"Total Gross Plant for the CUS System (line "&amp;A138&amp;" plus line "&amp;A139&amp;")"</f>
        <v>Total Gross Plant for the CUS System (line 96 plus line 97)</v>
      </c>
      <c r="D140" s="186"/>
      <c r="E140" s="177"/>
      <c r="F140" s="177"/>
      <c r="G140" s="177"/>
      <c r="H140" s="187"/>
      <c r="I140" s="177"/>
      <c r="J140" s="205">
        <f>SUM(J138:J139)</f>
        <v>155230183.66892156</v>
      </c>
      <c r="K140" s="17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>
      <c r="A141" s="191">
        <f t="shared" si="5"/>
        <v>99</v>
      </c>
      <c r="B141" s="182"/>
      <c r="C141" s="202" t="str">
        <f>"Total CUS Plant (line "&amp;A135&amp;" plus line "&amp;A149&amp;")"</f>
        <v>Total CUS Plant (line 93 plus line 107)</v>
      </c>
      <c r="D141" s="186"/>
      <c r="E141" s="177"/>
      <c r="F141" s="177"/>
      <c r="G141" s="177"/>
      <c r="H141" s="187"/>
      <c r="I141" s="177"/>
      <c r="J141" s="189">
        <f>+J135+J149</f>
        <v>179850618.32846153</v>
      </c>
      <c r="K141" s="17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>
      <c r="A142" s="191">
        <f t="shared" si="5"/>
        <v>100</v>
      </c>
      <c r="B142" s="182"/>
      <c r="C142" s="182"/>
      <c r="D142" s="186"/>
      <c r="E142" s="177"/>
      <c r="F142" s="177"/>
      <c r="G142" s="177"/>
      <c r="H142" s="187"/>
      <c r="I142" s="177"/>
      <c r="J142" s="182"/>
      <c r="K142" s="17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>
      <c r="A143" s="191">
        <f t="shared" si="5"/>
        <v>101</v>
      </c>
      <c r="B143" s="182"/>
      <c r="C143" s="20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206"/>
      <c r="E143" s="207"/>
      <c r="F143" s="207"/>
      <c r="G143" s="207"/>
      <c r="H143" s="208"/>
      <c r="I143" s="177" t="s">
        <v>244</v>
      </c>
      <c r="J143" s="209">
        <f>ROUND(IF(J141&gt;0,J140/J141,0),6)</f>
        <v>0.86310600000000004</v>
      </c>
      <c r="K143" s="17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>
      <c r="A144" s="191">
        <f t="shared" si="5"/>
        <v>102</v>
      </c>
      <c r="B144" s="182"/>
      <c r="C144" s="182"/>
      <c r="D144" s="182"/>
      <c r="E144" s="182"/>
      <c r="F144" s="182"/>
      <c r="G144" s="182"/>
      <c r="H144" s="182"/>
      <c r="I144" s="182"/>
      <c r="J144" s="182"/>
      <c r="K144" s="17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5.75" thickBot="1">
      <c r="A145" s="191">
        <f t="shared" si="5"/>
        <v>103</v>
      </c>
      <c r="B145" s="182"/>
      <c r="C145" s="201" t="s">
        <v>103</v>
      </c>
      <c r="D145" s="186"/>
      <c r="E145" s="179" t="s">
        <v>0</v>
      </c>
      <c r="F145" s="186"/>
      <c r="G145" s="186"/>
      <c r="H145" s="186"/>
      <c r="I145" s="186"/>
      <c r="J145" s="186"/>
      <c r="K145" s="18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>
      <c r="A146" s="191">
        <f t="shared" si="5"/>
        <v>104</v>
      </c>
      <c r="B146" s="182"/>
      <c r="C146" s="202" t="s">
        <v>104</v>
      </c>
      <c r="D146" s="186"/>
      <c r="E146" s="312" t="str">
        <f>"Column (3) line "&amp;A17&amp;""</f>
        <v>Column (3) line 3</v>
      </c>
      <c r="F146" s="177"/>
      <c r="G146" s="177"/>
      <c r="H146" s="177"/>
      <c r="I146" s="177"/>
      <c r="J146" s="177">
        <f>+E17</f>
        <v>367623537.63307697</v>
      </c>
      <c r="K146" s="18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>
      <c r="A147" s="191">
        <f t="shared" si="5"/>
        <v>105</v>
      </c>
      <c r="B147" s="182"/>
      <c r="C147" s="202" t="s">
        <v>107</v>
      </c>
      <c r="D147" s="182"/>
      <c r="E147" s="182" t="s">
        <v>170</v>
      </c>
      <c r="F147" s="182"/>
      <c r="G147" s="182"/>
      <c r="H147" s="182"/>
      <c r="I147" s="182"/>
      <c r="J147" s="177">
        <f>+J146-J149</f>
        <v>357657952.46307695</v>
      </c>
      <c r="K147" s="18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5.75" thickBot="1">
      <c r="A148" s="191">
        <f t="shared" si="5"/>
        <v>106</v>
      </c>
      <c r="B148" s="182"/>
      <c r="C148" s="203" t="s">
        <v>108</v>
      </c>
      <c r="D148" s="204"/>
      <c r="E148" s="179" t="s">
        <v>170</v>
      </c>
      <c r="F148" s="177"/>
      <c r="G148" s="177"/>
      <c r="H148" s="187"/>
      <c r="I148" s="177"/>
      <c r="J148" s="20">
        <v>0</v>
      </c>
      <c r="K148" s="18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>
      <c r="A149" s="191">
        <f t="shared" si="5"/>
        <v>107</v>
      </c>
      <c r="B149" s="182"/>
      <c r="C149" s="202" t="str">
        <f>"Common Use AC Facilities (line "&amp;A146&amp;" less lines "&amp;A147&amp;" &amp; "&amp;A148&amp;")"</f>
        <v>Common Use AC Facilities (line 104 less lines 105 &amp; 106)</v>
      </c>
      <c r="D149" s="186"/>
      <c r="E149" s="177"/>
      <c r="F149" s="177"/>
      <c r="G149" s="177"/>
      <c r="H149" s="187"/>
      <c r="I149" s="177"/>
      <c r="J149" s="14">
        <v>9965585.1699999981</v>
      </c>
      <c r="K149" s="18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>
      <c r="A150" s="191">
        <f t="shared" si="5"/>
        <v>108</v>
      </c>
      <c r="B150" s="182"/>
      <c r="C150" s="182"/>
      <c r="D150" s="186"/>
      <c r="E150" s="177"/>
      <c r="F150" s="177"/>
      <c r="G150" s="177"/>
      <c r="H150" s="187"/>
      <c r="I150" s="177"/>
      <c r="J150" s="182"/>
      <c r="K150" s="18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>
      <c r="A151" s="191">
        <f t="shared" si="5"/>
        <v>109</v>
      </c>
      <c r="B151" s="182"/>
      <c r="C151" s="20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206"/>
      <c r="E151" s="207"/>
      <c r="F151" s="207"/>
      <c r="G151" s="207"/>
      <c r="H151" s="208"/>
      <c r="I151" s="177" t="s">
        <v>106</v>
      </c>
      <c r="J151" s="209">
        <f>ROUND(IF(J146&gt;0,J149/J146,0),6)</f>
        <v>2.7108E-2</v>
      </c>
      <c r="K151" s="18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>
      <c r="A152" s="191">
        <f t="shared" si="5"/>
        <v>110</v>
      </c>
      <c r="B152" s="182"/>
      <c r="C152" s="182"/>
      <c r="D152" s="186"/>
      <c r="E152" s="177"/>
      <c r="F152" s="177"/>
      <c r="G152" s="177"/>
      <c r="H152" s="187"/>
      <c r="I152" s="177"/>
      <c r="J152" s="182"/>
      <c r="K152" s="18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.75" thickBot="1">
      <c r="A153" s="191">
        <f t="shared" si="5"/>
        <v>111</v>
      </c>
      <c r="B153" s="182"/>
      <c r="C153" s="201" t="s">
        <v>222</v>
      </c>
      <c r="D153" s="186"/>
      <c r="E153" s="179" t="s">
        <v>0</v>
      </c>
      <c r="F153" s="177"/>
      <c r="G153" s="177"/>
      <c r="H153" s="187"/>
      <c r="I153" s="177"/>
      <c r="J153" s="177"/>
      <c r="K153" s="18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>
      <c r="A154" s="191">
        <f t="shared" si="5"/>
        <v>112</v>
      </c>
      <c r="B154" s="182"/>
      <c r="C154" s="182" t="s">
        <v>78</v>
      </c>
      <c r="D154" s="186"/>
      <c r="E154" s="312" t="str">
        <f>"Column (3) line "&amp;A26&amp;""</f>
        <v>Column (3) line 12</v>
      </c>
      <c r="F154" s="177"/>
      <c r="G154" s="177"/>
      <c r="H154" s="187"/>
      <c r="I154" s="177"/>
      <c r="J154" s="177">
        <f>+E26</f>
        <v>43096515.001804784</v>
      </c>
      <c r="K154" s="18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>
      <c r="A155" s="191">
        <f t="shared" si="5"/>
        <v>113</v>
      </c>
      <c r="B155" s="182"/>
      <c r="C155" s="202" t="s">
        <v>406</v>
      </c>
      <c r="D155" s="186"/>
      <c r="E155" s="177" t="s">
        <v>170</v>
      </c>
      <c r="F155" s="177"/>
      <c r="G155" s="177"/>
      <c r="H155" s="187"/>
      <c r="I155" s="177"/>
      <c r="J155" s="359">
        <v>8437254.4067756683</v>
      </c>
      <c r="K155" s="18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>
      <c r="A156" s="191">
        <f t="shared" si="5"/>
        <v>114</v>
      </c>
      <c r="B156" s="182"/>
      <c r="C156" s="210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11"/>
      <c r="E156" s="205"/>
      <c r="F156" s="177"/>
      <c r="G156" s="177"/>
      <c r="H156" s="187"/>
      <c r="I156" s="177"/>
      <c r="J156" s="205">
        <f>J154-J155</f>
        <v>34659260.595029116</v>
      </c>
      <c r="K156" s="18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>
      <c r="A157" s="191">
        <f t="shared" si="5"/>
        <v>115</v>
      </c>
      <c r="B157" s="182"/>
      <c r="C157" s="202" t="str">
        <f>"Plus Common Use AC Facilities Accumulated Depreciation (line "&amp;A166&amp;")"</f>
        <v>Plus Common Use AC Facilities Accumulated Depreciation (line 124)</v>
      </c>
      <c r="D157" s="212"/>
      <c r="E157" s="189"/>
      <c r="F157" s="177"/>
      <c r="G157" s="177"/>
      <c r="H157" s="187"/>
      <c r="I157" s="177"/>
      <c r="J157" s="189">
        <f>+J166</f>
        <v>3511713.8150000004</v>
      </c>
      <c r="K157" s="18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>
      <c r="A158" s="191">
        <f t="shared" si="5"/>
        <v>116</v>
      </c>
      <c r="B158" s="182"/>
      <c r="C158" s="202" t="str">
        <f>"Total Accumulated Depreciation for the CUS System (line "&amp;A156&amp;" plus line "&amp;A157&amp;")"</f>
        <v>Total Accumulated Depreciation for the CUS System (line 114 plus line 115)</v>
      </c>
      <c r="D158" s="212"/>
      <c r="E158" s="189"/>
      <c r="F158" s="177"/>
      <c r="G158" s="177"/>
      <c r="H158" s="187"/>
      <c r="I158" s="177"/>
      <c r="J158" s="205">
        <f>SUM(J156:J157)</f>
        <v>38170974.410029113</v>
      </c>
      <c r="K158" s="18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>
      <c r="A159" s="191">
        <f t="shared" si="5"/>
        <v>117</v>
      </c>
      <c r="B159" s="182"/>
      <c r="C159" s="202" t="str">
        <f>"Total CUS Accumulated Depreciation (line "&amp;A154&amp;" plus line "&amp;A157&amp;")"</f>
        <v>Total CUS Accumulated Depreciation (line 112 plus line 115)</v>
      </c>
      <c r="D159" s="212"/>
      <c r="E159" s="189"/>
      <c r="F159" s="177"/>
      <c r="G159" s="177"/>
      <c r="H159" s="187"/>
      <c r="I159" s="177"/>
      <c r="J159" s="189">
        <f>+J154+J157</f>
        <v>46608228.816804782</v>
      </c>
      <c r="K159" s="18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>
      <c r="A160" s="191">
        <f t="shared" si="5"/>
        <v>118</v>
      </c>
      <c r="B160" s="182"/>
      <c r="C160" s="182"/>
      <c r="D160" s="186"/>
      <c r="E160" s="177"/>
      <c r="F160" s="177"/>
      <c r="G160" s="177"/>
      <c r="H160" s="187"/>
      <c r="I160" s="177"/>
      <c r="J160" s="177"/>
      <c r="K160" s="18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>
      <c r="A161" s="191">
        <f t="shared" si="5"/>
        <v>119</v>
      </c>
      <c r="B161" s="182"/>
      <c r="C161" s="20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186"/>
      <c r="E161" s="177"/>
      <c r="F161" s="177"/>
      <c r="G161" s="177"/>
      <c r="H161" s="187"/>
      <c r="I161" s="177" t="s">
        <v>79</v>
      </c>
      <c r="J161" s="209">
        <f>ROUND(IF(J159&gt;0,J158/J159,0),6)</f>
        <v>0.81897500000000001</v>
      </c>
      <c r="K161" s="18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>
      <c r="A162" s="191">
        <f t="shared" si="5"/>
        <v>120</v>
      </c>
      <c r="B162" s="182"/>
      <c r="C162" s="182"/>
      <c r="D162" s="186"/>
      <c r="E162" s="177"/>
      <c r="F162" s="177"/>
      <c r="G162" s="177"/>
      <c r="H162" s="187"/>
      <c r="I162" s="177"/>
      <c r="J162" s="177"/>
      <c r="K162" s="18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.75" thickBot="1">
      <c r="A163" s="191">
        <f t="shared" si="5"/>
        <v>121</v>
      </c>
      <c r="B163" s="182"/>
      <c r="C163" s="182"/>
      <c r="D163" s="186"/>
      <c r="E163" s="179" t="s">
        <v>0</v>
      </c>
      <c r="F163" s="177"/>
      <c r="G163" s="177"/>
      <c r="H163" s="187"/>
      <c r="I163" s="177"/>
      <c r="J163" s="177"/>
      <c r="K163" s="18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>
      <c r="A164" s="191">
        <f t="shared" si="5"/>
        <v>122</v>
      </c>
      <c r="B164" s="182"/>
      <c r="C164" s="182" t="s">
        <v>81</v>
      </c>
      <c r="D164" s="186"/>
      <c r="E164" s="312" t="str">
        <f>"Column (3) line "&amp;A27&amp;""</f>
        <v>Column (3) line 13</v>
      </c>
      <c r="F164" s="177"/>
      <c r="G164" s="177"/>
      <c r="H164" s="187"/>
      <c r="I164" s="177"/>
      <c r="J164" s="177">
        <f>+E27</f>
        <v>130155902.69373825</v>
      </c>
      <c r="K164" s="18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>
      <c r="A165" s="191">
        <f t="shared" si="5"/>
        <v>123</v>
      </c>
      <c r="B165" s="182"/>
      <c r="C165" s="182" t="s">
        <v>171</v>
      </c>
      <c r="D165" s="186"/>
      <c r="E165" s="177"/>
      <c r="F165" s="177"/>
      <c r="G165" s="177"/>
      <c r="H165" s="187"/>
      <c r="I165" s="177"/>
      <c r="J165" s="177">
        <f>+J164-J166</f>
        <v>126644188.87873825</v>
      </c>
      <c r="K165" s="18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>
      <c r="A166" s="191">
        <f t="shared" si="5"/>
        <v>124</v>
      </c>
      <c r="B166" s="182"/>
      <c r="C166" s="213" t="str">
        <f>"Common Use AC Facilities (line "&amp;A164&amp;" less line "&amp;A165&amp;")"</f>
        <v>Common Use AC Facilities (line 122 less line 123)</v>
      </c>
      <c r="D166" s="211"/>
      <c r="E166" s="205"/>
      <c r="F166" s="177"/>
      <c r="G166" s="177"/>
      <c r="H166" s="187"/>
      <c r="I166" s="177"/>
      <c r="J166" s="360">
        <v>3511713.8150000004</v>
      </c>
      <c r="K166" s="18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>
      <c r="A167" s="191">
        <f t="shared" si="5"/>
        <v>125</v>
      </c>
      <c r="B167" s="182"/>
      <c r="C167" s="182"/>
      <c r="D167" s="186"/>
      <c r="E167" s="177"/>
      <c r="F167" s="177"/>
      <c r="G167" s="177"/>
      <c r="H167" s="187"/>
      <c r="I167" s="177"/>
      <c r="J167" s="177"/>
      <c r="K167" s="18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>
      <c r="A168" s="191">
        <f t="shared" si="5"/>
        <v>126</v>
      </c>
      <c r="B168" s="182"/>
      <c r="C168" s="20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186"/>
      <c r="E168" s="177"/>
      <c r="F168" s="177"/>
      <c r="G168" s="177"/>
      <c r="H168" s="187"/>
      <c r="I168" s="177" t="s">
        <v>82</v>
      </c>
      <c r="J168" s="209">
        <f>ROUND(IF(J164&gt;0,J166/J164,0),6)</f>
        <v>2.6981000000000002E-2</v>
      </c>
      <c r="K168" s="18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>
      <c r="A169" s="191">
        <f t="shared" si="5"/>
        <v>127</v>
      </c>
      <c r="B169" s="182"/>
      <c r="C169" s="182"/>
      <c r="D169" s="186"/>
      <c r="E169" s="177"/>
      <c r="F169" s="177"/>
      <c r="G169" s="177"/>
      <c r="H169" s="187"/>
      <c r="I169" s="177"/>
      <c r="J169" s="177"/>
      <c r="K169" s="18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>
      <c r="A170" s="191">
        <f t="shared" si="5"/>
        <v>128</v>
      </c>
      <c r="B170" s="182"/>
      <c r="C170" s="195" t="s">
        <v>245</v>
      </c>
      <c r="D170" s="177"/>
      <c r="E170" s="177"/>
      <c r="F170" s="177"/>
      <c r="G170" s="177"/>
      <c r="H170" s="177"/>
      <c r="I170" s="177"/>
      <c r="J170" s="177"/>
      <c r="K170" s="17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.75" thickBot="1">
      <c r="A171" s="191">
        <f t="shared" si="5"/>
        <v>129</v>
      </c>
      <c r="B171" s="182"/>
      <c r="C171" s="195"/>
      <c r="D171" s="179" t="s">
        <v>246</v>
      </c>
      <c r="E171" s="214" t="s">
        <v>247</v>
      </c>
      <c r="F171" s="214" t="s">
        <v>200</v>
      </c>
      <c r="G171" s="177"/>
      <c r="H171" s="214" t="s">
        <v>248</v>
      </c>
      <c r="I171" s="189"/>
      <c r="J171" s="215"/>
      <c r="K171" s="17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>
      <c r="A172" s="191">
        <f t="shared" si="5"/>
        <v>130</v>
      </c>
      <c r="B172" s="182"/>
      <c r="C172" s="195" t="s">
        <v>215</v>
      </c>
      <c r="D172" s="177" t="s">
        <v>127</v>
      </c>
      <c r="E172" s="14">
        <v>1838526</v>
      </c>
      <c r="F172" s="216">
        <f>+J143</f>
        <v>0.86310600000000004</v>
      </c>
      <c r="G172" s="182"/>
      <c r="H172" s="177">
        <f>E172*F172</f>
        <v>1586842.8217560002</v>
      </c>
      <c r="I172" s="189"/>
      <c r="J172" s="217"/>
      <c r="K172" s="17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>
      <c r="A173" s="191">
        <f t="shared" si="5"/>
        <v>131</v>
      </c>
      <c r="B173" s="182"/>
      <c r="C173" s="195" t="s">
        <v>141</v>
      </c>
      <c r="D173" s="177" t="s">
        <v>142</v>
      </c>
      <c r="E173" s="14">
        <v>20866169</v>
      </c>
      <c r="F173" s="216">
        <v>0</v>
      </c>
      <c r="G173" s="216"/>
      <c r="H173" s="177">
        <f>E173*F173</f>
        <v>0</v>
      </c>
      <c r="I173" s="189"/>
      <c r="J173" s="215" t="s">
        <v>249</v>
      </c>
      <c r="K173" s="17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.75" thickBot="1">
      <c r="A174" s="191">
        <f t="shared" si="5"/>
        <v>132</v>
      </c>
      <c r="B174" s="182"/>
      <c r="C174" s="195" t="s">
        <v>143</v>
      </c>
      <c r="D174" s="177" t="s">
        <v>144</v>
      </c>
      <c r="E174" s="20">
        <v>-8084716</v>
      </c>
      <c r="F174" s="216">
        <v>0</v>
      </c>
      <c r="G174" s="216"/>
      <c r="H174" s="179">
        <f>E174*F174</f>
        <v>0</v>
      </c>
      <c r="I174" s="189"/>
      <c r="J174" s="200" t="s">
        <v>250</v>
      </c>
      <c r="K174" s="17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>
      <c r="A175" s="191">
        <f t="shared" si="5"/>
        <v>133</v>
      </c>
      <c r="B175" s="182"/>
      <c r="C175" s="195" t="str">
        <f>"  Adjusted Total  (sum lines "&amp;A173&amp;"-"&amp;A174&amp;")"</f>
        <v xml:space="preserve">  Adjusted Total  (sum lines 131-132)</v>
      </c>
      <c r="D175" s="177"/>
      <c r="E175" s="14">
        <f>SUM(E173:E174)</f>
        <v>12781453</v>
      </c>
      <c r="F175" s="177"/>
      <c r="G175" s="182"/>
      <c r="H175" s="177">
        <f>SUM(H172:H174)</f>
        <v>1586842.8217560002</v>
      </c>
      <c r="I175" s="177" t="s">
        <v>92</v>
      </c>
      <c r="J175" s="176">
        <f>IF(E175&gt;0,+H175/E175,0)</f>
        <v>0.12415198974295021</v>
      </c>
      <c r="K175" s="18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>
      <c r="A176" s="191">
        <f t="shared" si="5"/>
        <v>134</v>
      </c>
      <c r="B176" s="182"/>
      <c r="C176" s="195"/>
      <c r="D176" s="177"/>
      <c r="E176" s="177"/>
      <c r="F176" s="177"/>
      <c r="G176" s="177"/>
      <c r="H176" s="177"/>
      <c r="I176" s="177"/>
      <c r="J176" s="177"/>
      <c r="K176" s="17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>
      <c r="A177" s="191">
        <f t="shared" si="5"/>
        <v>135</v>
      </c>
      <c r="B177" s="182"/>
      <c r="C177" s="195" t="s">
        <v>128</v>
      </c>
      <c r="D177" s="312"/>
      <c r="E177" s="177"/>
      <c r="F177" s="177"/>
      <c r="G177" s="177"/>
      <c r="H177" s="177"/>
      <c r="I177" s="177"/>
      <c r="J177" s="177"/>
      <c r="K177" s="17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75" thickBot="1">
      <c r="A178" s="191">
        <f t="shared" si="5"/>
        <v>136</v>
      </c>
      <c r="B178" s="182"/>
      <c r="C178" s="195"/>
      <c r="D178" s="177"/>
      <c r="E178" s="214" t="s">
        <v>247</v>
      </c>
      <c r="F178" s="214" t="s">
        <v>254</v>
      </c>
      <c r="G178" s="197" t="s">
        <v>200</v>
      </c>
      <c r="H178" s="218" t="s">
        <v>131</v>
      </c>
      <c r="I178" s="193"/>
      <c r="J178" s="180"/>
      <c r="K178" s="18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>
      <c r="A179" s="191">
        <f t="shared" si="5"/>
        <v>137</v>
      </c>
      <c r="B179" s="182"/>
      <c r="C179" s="195" t="s">
        <v>129</v>
      </c>
      <c r="D179" s="334" t="s">
        <v>443</v>
      </c>
      <c r="E179" s="307">
        <f>J135-J154</f>
        <v>126788518.15665676</v>
      </c>
      <c r="F179" s="219">
        <f>IF(E181&gt;0,+E179/E181,0)</f>
        <v>0.34807515831652436</v>
      </c>
      <c r="G179" s="220">
        <f>+J143</f>
        <v>0.86310600000000004</v>
      </c>
      <c r="H179" s="221">
        <f>IF(F179&gt;0,+G179*F179,0)</f>
        <v>0.30042575759394208</v>
      </c>
      <c r="I179" s="222"/>
      <c r="J179" s="191"/>
      <c r="K179" s="17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>
      <c r="A180" s="191">
        <f t="shared" si="5"/>
        <v>138</v>
      </c>
      <c r="B180" s="182"/>
      <c r="C180" s="195" t="s">
        <v>130</v>
      </c>
      <c r="D180" s="334" t="s">
        <v>444</v>
      </c>
      <c r="E180" s="307">
        <f>J146-J164</f>
        <v>237467634.93933871</v>
      </c>
      <c r="F180" s="219">
        <f>IF(E181&gt;0,+E180/E181,0)</f>
        <v>0.65192484168347564</v>
      </c>
      <c r="G180" s="182"/>
      <c r="H180" s="190"/>
      <c r="I180" s="187"/>
      <c r="J180" s="190"/>
      <c r="K180" s="19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>
      <c r="A181" s="191">
        <f t="shared" si="5"/>
        <v>139</v>
      </c>
      <c r="B181" s="182"/>
      <c r="C181" s="195" t="str">
        <f>"  Total  (sum lines "&amp;A179&amp;" - "&amp;A180&amp;")"</f>
        <v xml:space="preserve">  Total  (sum lines 137 - 138)</v>
      </c>
      <c r="D181" s="177"/>
      <c r="E181" s="205">
        <f>SUM(E179:E180)</f>
        <v>364256153.09599549</v>
      </c>
      <c r="F181" s="223">
        <f>SUM(F179:F180)</f>
        <v>1</v>
      </c>
      <c r="G181" s="177"/>
      <c r="H181" s="177"/>
      <c r="I181" s="177" t="s">
        <v>132</v>
      </c>
      <c r="J181" s="224">
        <f>+H179</f>
        <v>0.30042575759394208</v>
      </c>
      <c r="K181" s="17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>
      <c r="A182" s="191">
        <f t="shared" si="5"/>
        <v>140</v>
      </c>
      <c r="B182" s="182"/>
      <c r="C182" s="195"/>
      <c r="D182" s="177"/>
      <c r="E182" s="182"/>
      <c r="F182" s="177"/>
      <c r="G182" s="177"/>
      <c r="H182" s="177"/>
      <c r="I182" s="177"/>
      <c r="J182" s="224"/>
      <c r="K182" s="17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s="121" customFormat="1" ht="15.75" thickBot="1">
      <c r="A183" s="191">
        <f t="shared" si="5"/>
        <v>141</v>
      </c>
      <c r="B183" s="225"/>
      <c r="C183" s="226" t="s">
        <v>252</v>
      </c>
      <c r="D183" s="197" t="s">
        <v>246</v>
      </c>
      <c r="E183" s="177"/>
      <c r="F183" s="177"/>
      <c r="G183" s="177"/>
      <c r="H183" s="177"/>
      <c r="I183" s="177"/>
      <c r="J183" s="214" t="s">
        <v>247</v>
      </c>
      <c r="K183" s="177"/>
    </row>
    <row r="184" spans="1:40">
      <c r="A184" s="191">
        <f t="shared" si="5"/>
        <v>142</v>
      </c>
      <c r="B184" s="225"/>
      <c r="C184" s="186" t="s">
        <v>329</v>
      </c>
      <c r="D184" s="312" t="s">
        <v>445</v>
      </c>
      <c r="E184" s="177"/>
      <c r="F184" s="177"/>
      <c r="G184" s="177"/>
      <c r="H184" s="177"/>
      <c r="I184" s="177"/>
      <c r="J184" s="100">
        <v>20726319</v>
      </c>
      <c r="K184" s="17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>
      <c r="A185" s="191">
        <f t="shared" si="5"/>
        <v>143</v>
      </c>
      <c r="B185" s="227"/>
      <c r="C185" s="195"/>
      <c r="D185" s="177"/>
      <c r="E185" s="177"/>
      <c r="F185" s="177"/>
      <c r="G185" s="177"/>
      <c r="H185" s="177"/>
      <c r="I185" s="177"/>
      <c r="J185" s="177"/>
      <c r="K185" s="17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>
      <c r="A186" s="191">
        <f t="shared" si="5"/>
        <v>144</v>
      </c>
      <c r="B186" s="225"/>
      <c r="C186" s="195" t="s">
        <v>330</v>
      </c>
      <c r="D186" s="177" t="s">
        <v>331</v>
      </c>
      <c r="E186" s="177"/>
      <c r="F186" s="177"/>
      <c r="G186" s="177"/>
      <c r="H186" s="177"/>
      <c r="I186" s="177"/>
      <c r="J186" s="100">
        <v>0</v>
      </c>
      <c r="K186" s="17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>
      <c r="A187" s="191">
        <f t="shared" si="5"/>
        <v>145</v>
      </c>
      <c r="B187" s="225"/>
      <c r="C187" s="195"/>
      <c r="D187" s="177"/>
      <c r="E187" s="177"/>
      <c r="F187" s="177"/>
      <c r="G187" s="177"/>
      <c r="H187" s="177"/>
      <c r="I187" s="177"/>
      <c r="J187" s="177"/>
      <c r="K187" s="17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>
      <c r="A188" s="191">
        <f t="shared" si="5"/>
        <v>146</v>
      </c>
      <c r="B188" s="225"/>
      <c r="C188" s="226" t="s">
        <v>332</v>
      </c>
      <c r="D188" s="197" t="s">
        <v>246</v>
      </c>
      <c r="E188" s="177"/>
      <c r="F188" s="177"/>
      <c r="G188" s="177"/>
      <c r="H188" s="177"/>
      <c r="I188" s="177"/>
      <c r="J188" s="177"/>
      <c r="K188" s="17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>
      <c r="A189" s="191">
        <f t="shared" si="5"/>
        <v>147</v>
      </c>
      <c r="B189" s="225"/>
      <c r="C189" s="195" t="s">
        <v>22</v>
      </c>
      <c r="D189" s="177" t="s">
        <v>333</v>
      </c>
      <c r="E189" s="186"/>
      <c r="F189" s="177"/>
      <c r="G189" s="177"/>
      <c r="H189" s="177"/>
      <c r="I189" s="177"/>
      <c r="J189" s="374">
        <v>394057034</v>
      </c>
      <c r="K189" s="177"/>
      <c r="L189" s="328" t="s">
        <v>481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>
      <c r="A190" s="191">
        <f t="shared" si="5"/>
        <v>148</v>
      </c>
      <c r="B190" s="225"/>
      <c r="C190" s="195" t="s">
        <v>334</v>
      </c>
      <c r="D190" s="177" t="s">
        <v>335</v>
      </c>
      <c r="E190" s="177"/>
      <c r="F190" s="177"/>
      <c r="G190" s="177"/>
      <c r="H190" s="177"/>
      <c r="I190" s="177"/>
      <c r="J190" s="100">
        <v>0</v>
      </c>
      <c r="K190" s="17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>
      <c r="A191" s="191">
        <f t="shared" si="5"/>
        <v>149</v>
      </c>
      <c r="B191" s="225"/>
      <c r="C191" s="195" t="s">
        <v>336</v>
      </c>
      <c r="D191" s="177" t="s">
        <v>337</v>
      </c>
      <c r="E191" s="177"/>
      <c r="F191" s="177"/>
      <c r="G191" s="177"/>
      <c r="H191" s="177"/>
      <c r="I191" s="177"/>
      <c r="J191" s="150">
        <v>0</v>
      </c>
      <c r="K191" s="17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.75" thickBot="1">
      <c r="A192" s="191">
        <f t="shared" si="5"/>
        <v>150</v>
      </c>
      <c r="B192" s="225"/>
      <c r="C192" s="195" t="s">
        <v>338</v>
      </c>
      <c r="D192" s="177" t="s">
        <v>339</v>
      </c>
      <c r="E192" s="177"/>
      <c r="F192" s="177"/>
      <c r="G192" s="177"/>
      <c r="H192" s="177"/>
      <c r="I192" s="177"/>
      <c r="J192" s="361">
        <v>1257784</v>
      </c>
      <c r="K192" s="17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>
      <c r="A193" s="191">
        <f t="shared" si="5"/>
        <v>151</v>
      </c>
      <c r="B193" s="225"/>
      <c r="C193" s="228" t="s">
        <v>340</v>
      </c>
      <c r="D193" s="177"/>
      <c r="E193" s="186" t="str">
        <f>"(sum lines "&amp;A189&amp;"-"&amp;A192&amp;")"</f>
        <v>(sum lines 147-150)</v>
      </c>
      <c r="F193" s="186"/>
      <c r="G193" s="186"/>
      <c r="H193" s="186"/>
      <c r="I193" s="186"/>
      <c r="J193" s="181">
        <f>SUM(J189:J192)</f>
        <v>395314818</v>
      </c>
      <c r="K193" s="17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>
      <c r="A194" s="191">
        <f t="shared" si="5"/>
        <v>152</v>
      </c>
      <c r="B194" s="182"/>
      <c r="C194" s="195"/>
      <c r="D194" s="177"/>
      <c r="E194" s="177"/>
      <c r="F194" s="177"/>
      <c r="G194" s="177"/>
      <c r="H194" s="187"/>
      <c r="I194" s="177"/>
      <c r="J194" s="177"/>
      <c r="K194" s="17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.75" thickBot="1">
      <c r="A195" s="191">
        <f t="shared" si="5"/>
        <v>153</v>
      </c>
      <c r="B195" s="182"/>
      <c r="C195" s="195"/>
      <c r="D195" s="20" t="s">
        <v>246</v>
      </c>
      <c r="E195" s="269" t="s">
        <v>247</v>
      </c>
      <c r="F195" s="200" t="s">
        <v>254</v>
      </c>
      <c r="G195" s="177"/>
      <c r="H195" s="200" t="s">
        <v>253</v>
      </c>
      <c r="I195" s="177"/>
      <c r="J195" s="200" t="s">
        <v>255</v>
      </c>
      <c r="K195" s="17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>
      <c r="A196" s="191">
        <f t="shared" si="5"/>
        <v>154</v>
      </c>
      <c r="B196" s="182"/>
      <c r="C196" s="201" t="s">
        <v>327</v>
      </c>
      <c r="D196" s="104" t="s">
        <v>391</v>
      </c>
      <c r="E196" s="14">
        <v>342764610</v>
      </c>
      <c r="F196" s="336">
        <v>0.43</v>
      </c>
      <c r="G196" s="230"/>
      <c r="H196" s="219">
        <f>IF(E196&gt;0,+J184/E196,0)</f>
        <v>6.0468083329839682E-2</v>
      </c>
      <c r="I196" s="182"/>
      <c r="J196" s="219">
        <f>H196*F196</f>
        <v>2.6001275831831063E-2</v>
      </c>
      <c r="K196" s="23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>
      <c r="A197" s="191">
        <f t="shared" si="5"/>
        <v>155</v>
      </c>
      <c r="B197" s="182"/>
      <c r="C197" s="201" t="s">
        <v>328</v>
      </c>
      <c r="D197" s="232" t="s">
        <v>335</v>
      </c>
      <c r="E197" s="14"/>
      <c r="F197" s="229">
        <f>IF($E$199&gt;0,E197/$E$199,0)</f>
        <v>0</v>
      </c>
      <c r="G197" s="230"/>
      <c r="H197" s="219">
        <f>IF(E197&gt;0,J186/E197,0)</f>
        <v>0</v>
      </c>
      <c r="I197" s="182"/>
      <c r="J197" s="219">
        <f>H197*F197</f>
        <v>0</v>
      </c>
      <c r="K197" s="17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.75" thickBot="1">
      <c r="A198" s="191">
        <f t="shared" si="5"/>
        <v>156</v>
      </c>
      <c r="B198" s="182"/>
      <c r="C198" s="228" t="s">
        <v>341</v>
      </c>
      <c r="D198" s="232" t="str">
        <f>"(see above line "&amp;A193&amp;")"</f>
        <v>(see above line 151)</v>
      </c>
      <c r="E198" s="179">
        <f>+J193</f>
        <v>395314818</v>
      </c>
      <c r="F198" s="336">
        <v>0.56999999999999995</v>
      </c>
      <c r="G198" s="182" t="s">
        <v>172</v>
      </c>
      <c r="H198" s="337">
        <v>0.108</v>
      </c>
      <c r="I198" s="182" t="s">
        <v>172</v>
      </c>
      <c r="J198" s="233">
        <f>H198*F198</f>
        <v>6.1559999999999997E-2</v>
      </c>
      <c r="K198" s="17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>
      <c r="A199" s="191">
        <f t="shared" si="5"/>
        <v>157</v>
      </c>
      <c r="B199" s="182"/>
      <c r="C199" s="195" t="str">
        <f>"Total  (sum lines "&amp;A196&amp;"-"&amp;A198&amp;")"</f>
        <v>Total  (sum lines 154-156)</v>
      </c>
      <c r="D199" s="182"/>
      <c r="E199" s="177">
        <f>E198+E197+E196</f>
        <v>738079428</v>
      </c>
      <c r="F199" s="177" t="s">
        <v>194</v>
      </c>
      <c r="G199" s="177"/>
      <c r="H199" s="177"/>
      <c r="I199" s="177" t="s">
        <v>357</v>
      </c>
      <c r="J199" s="219">
        <f>SUM(J196:J198)</f>
        <v>8.7561275831831056E-2</v>
      </c>
      <c r="K199" s="23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>
      <c r="A200" s="191"/>
      <c r="B200" s="182"/>
      <c r="C200" s="195"/>
      <c r="D200" s="182"/>
      <c r="E200" s="177"/>
      <c r="F200" s="177"/>
      <c r="G200" s="177"/>
      <c r="H200" s="177"/>
      <c r="I200" s="286" t="s">
        <v>419</v>
      </c>
      <c r="J200" s="323">
        <f>J1</f>
        <v>43251</v>
      </c>
      <c r="K200" s="23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>
      <c r="A201" s="182"/>
      <c r="B201" s="182"/>
      <c r="C201" s="182"/>
      <c r="D201" s="182"/>
      <c r="E201" s="182"/>
      <c r="F201" s="177"/>
      <c r="G201" s="177"/>
      <c r="H201" s="194"/>
      <c r="I201" s="198" t="str">
        <f>$I$2</f>
        <v>Service Year</v>
      </c>
      <c r="J201" s="186">
        <f>$J$2</f>
        <v>2017</v>
      </c>
      <c r="K201" s="19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>
      <c r="A202" s="191"/>
      <c r="B202" s="182"/>
      <c r="C202" s="195"/>
      <c r="D202" s="186"/>
      <c r="E202" s="177"/>
      <c r="F202" s="177"/>
      <c r="G202" s="177"/>
      <c r="H202" s="177"/>
      <c r="I202" s="186"/>
      <c r="J202" s="177"/>
      <c r="K202" s="186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75">
      <c r="A203" s="385" t="s">
        <v>321</v>
      </c>
      <c r="B203" s="385"/>
      <c r="C203" s="385"/>
      <c r="D203" s="385"/>
      <c r="E203" s="385"/>
      <c r="F203" s="385"/>
      <c r="G203" s="385"/>
      <c r="H203" s="385"/>
      <c r="I203" s="385"/>
      <c r="J203" s="385"/>
      <c r="K203" s="38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75">
      <c r="A204" s="386" t="s">
        <v>195</v>
      </c>
      <c r="B204" s="386"/>
      <c r="C204" s="386"/>
      <c r="D204" s="386"/>
      <c r="E204" s="386"/>
      <c r="F204" s="386"/>
      <c r="G204" s="386"/>
      <c r="H204" s="386"/>
      <c r="I204" s="386"/>
      <c r="J204" s="386"/>
      <c r="K204" s="386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>
      <c r="A205" s="182"/>
      <c r="B205" s="182"/>
      <c r="C205" s="186"/>
      <c r="D205" s="186"/>
      <c r="E205" s="194"/>
      <c r="F205" s="186"/>
      <c r="G205" s="186"/>
      <c r="H205" s="186"/>
      <c r="I205" s="186"/>
      <c r="J205" s="186"/>
      <c r="K205" s="186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75">
      <c r="A206" s="387" t="s">
        <v>320</v>
      </c>
      <c r="B206" s="387"/>
      <c r="C206" s="387"/>
      <c r="D206" s="387"/>
      <c r="E206" s="387"/>
      <c r="F206" s="387"/>
      <c r="G206" s="387"/>
      <c r="H206" s="387"/>
      <c r="I206" s="387"/>
      <c r="J206" s="387"/>
      <c r="K206" s="38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>
      <c r="A207" s="191"/>
      <c r="B207" s="202"/>
      <c r="C207" s="234"/>
      <c r="D207" s="191"/>
      <c r="E207" s="177"/>
      <c r="F207" s="177"/>
      <c r="G207" s="177"/>
      <c r="H207" s="177"/>
      <c r="I207" s="202"/>
      <c r="J207" s="235"/>
      <c r="K207" s="236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>
      <c r="A208" s="182"/>
      <c r="B208" s="202"/>
      <c r="C208" s="201"/>
      <c r="D208" s="191"/>
      <c r="E208" s="177"/>
      <c r="F208" s="177"/>
      <c r="G208" s="177"/>
      <c r="H208" s="177"/>
      <c r="I208" s="202"/>
      <c r="J208" s="177"/>
      <c r="K208" s="20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>
      <c r="A209" s="191"/>
      <c r="B209" s="202"/>
      <c r="C209" s="201"/>
      <c r="D209" s="191"/>
      <c r="E209" s="177"/>
      <c r="F209" s="177"/>
      <c r="G209" s="177"/>
      <c r="H209" s="177"/>
      <c r="I209" s="202"/>
      <c r="J209" s="177"/>
      <c r="K209" s="20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>
      <c r="A210" s="191"/>
      <c r="B210" s="202"/>
      <c r="C210" s="201"/>
      <c r="D210" s="191"/>
      <c r="E210" s="177"/>
      <c r="F210" s="177"/>
      <c r="G210" s="177"/>
      <c r="H210" s="177"/>
      <c r="I210" s="202"/>
      <c r="J210" s="177"/>
      <c r="K210" s="20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>
      <c r="A211" s="191" t="s">
        <v>256</v>
      </c>
      <c r="B211" s="202"/>
      <c r="C211" s="201"/>
      <c r="D211" s="202"/>
      <c r="E211" s="177"/>
      <c r="F211" s="177"/>
      <c r="G211" s="177"/>
      <c r="H211" s="177"/>
      <c r="I211" s="202"/>
      <c r="J211" s="177"/>
      <c r="K211" s="20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75" thickBot="1">
      <c r="A212" s="200" t="s">
        <v>257</v>
      </c>
      <c r="B212" s="202"/>
      <c r="C212" s="201"/>
      <c r="D212" s="202"/>
      <c r="E212" s="177"/>
      <c r="F212" s="177"/>
      <c r="G212" s="177"/>
      <c r="H212" s="177"/>
      <c r="I212" s="202"/>
      <c r="J212" s="177"/>
      <c r="K212" s="20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>
      <c r="A213" s="191"/>
      <c r="B213" s="202"/>
      <c r="C213" s="201"/>
      <c r="D213" s="202"/>
      <c r="E213" s="177"/>
      <c r="F213" s="177"/>
      <c r="G213" s="177"/>
      <c r="H213" s="177"/>
      <c r="I213" s="202"/>
      <c r="J213" s="177"/>
      <c r="K213" s="20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>
      <c r="A214" s="182"/>
      <c r="B214" s="182"/>
      <c r="C214" s="182"/>
      <c r="D214" s="182"/>
      <c r="E214" s="182"/>
      <c r="F214" s="182"/>
      <c r="G214" s="182"/>
      <c r="H214" s="182"/>
      <c r="I214" s="182"/>
      <c r="J214" s="202"/>
      <c r="K214" s="20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>
      <c r="A215" s="191" t="s">
        <v>258</v>
      </c>
      <c r="B215" s="202"/>
      <c r="C215" s="202" t="s">
        <v>359</v>
      </c>
      <c r="D215" s="202"/>
      <c r="E215" s="202"/>
      <c r="F215" s="202"/>
      <c r="G215" s="202"/>
      <c r="H215" s="202"/>
      <c r="I215" s="202"/>
      <c r="J215" s="202"/>
      <c r="K215" s="20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>
      <c r="A216" s="191"/>
      <c r="B216" s="202"/>
      <c r="C216" s="202" t="s">
        <v>84</v>
      </c>
      <c r="D216" s="202"/>
      <c r="E216" s="202"/>
      <c r="F216" s="202"/>
      <c r="G216" s="202"/>
      <c r="H216" s="202"/>
      <c r="I216" s="202"/>
      <c r="J216" s="202"/>
      <c r="K216" s="20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>
      <c r="A217" s="191"/>
      <c r="B217" s="202"/>
      <c r="C217" s="202" t="s">
        <v>112</v>
      </c>
      <c r="D217" s="202"/>
      <c r="E217" s="202"/>
      <c r="F217" s="202"/>
      <c r="G217" s="202"/>
      <c r="H217" s="202"/>
      <c r="I217" s="202"/>
      <c r="J217" s="202"/>
      <c r="K217" s="20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>
      <c r="A218" s="191" t="s">
        <v>259</v>
      </c>
      <c r="B218" s="202"/>
      <c r="C218" s="202" t="s">
        <v>265</v>
      </c>
      <c r="D218" s="202"/>
      <c r="E218" s="202"/>
      <c r="F218" s="202"/>
      <c r="G218" s="202"/>
      <c r="H218" s="202"/>
      <c r="I218" s="202"/>
      <c r="J218" s="202"/>
      <c r="K218" s="20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>
      <c r="A219" s="191" t="s">
        <v>260</v>
      </c>
      <c r="B219" s="202"/>
      <c r="C219" s="202" t="s">
        <v>76</v>
      </c>
      <c r="D219" s="202"/>
      <c r="E219" s="202"/>
      <c r="F219" s="202"/>
      <c r="G219" s="202"/>
      <c r="H219" s="202"/>
      <c r="I219" s="202"/>
      <c r="J219" s="202"/>
      <c r="K219" s="20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>
      <c r="A220" s="90" t="s">
        <v>261</v>
      </c>
      <c r="B220" s="18"/>
      <c r="C220" s="18" t="s">
        <v>85</v>
      </c>
      <c r="D220" s="202"/>
      <c r="E220" s="202"/>
      <c r="F220" s="202"/>
      <c r="G220" s="202"/>
      <c r="H220" s="202"/>
      <c r="I220" s="202"/>
      <c r="J220" s="202"/>
      <c r="K220" s="20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>
      <c r="A221" s="191" t="s">
        <v>262</v>
      </c>
      <c r="B221" s="202"/>
      <c r="C221" s="202" t="s">
        <v>396</v>
      </c>
      <c r="D221" s="202"/>
      <c r="E221" s="202"/>
      <c r="F221" s="202"/>
      <c r="G221" s="202"/>
      <c r="H221" s="202"/>
      <c r="I221" s="202"/>
      <c r="J221" s="202"/>
      <c r="K221" s="20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>
      <c r="A222" s="191"/>
      <c r="B222" s="202"/>
      <c r="C222" s="182" t="s">
        <v>136</v>
      </c>
      <c r="D222" s="202"/>
      <c r="E222" s="202"/>
      <c r="F222" s="202"/>
      <c r="G222" s="202"/>
      <c r="H222" s="202"/>
      <c r="I222" s="202"/>
      <c r="J222" s="202"/>
      <c r="K222" s="20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>
      <c r="A223" s="191" t="s">
        <v>263</v>
      </c>
      <c r="B223" s="202"/>
      <c r="C223" s="202" t="s">
        <v>268</v>
      </c>
      <c r="D223" s="202"/>
      <c r="E223" s="202"/>
      <c r="F223" s="202"/>
      <c r="G223" s="202"/>
      <c r="H223" s="202"/>
      <c r="I223" s="202"/>
      <c r="J223" s="202"/>
      <c r="K223" s="20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>
      <c r="A224" s="191"/>
      <c r="B224" s="202"/>
      <c r="C224" s="202" t="s">
        <v>193</v>
      </c>
      <c r="D224" s="202"/>
      <c r="E224" s="202"/>
      <c r="F224" s="202"/>
      <c r="G224" s="202"/>
      <c r="H224" s="202"/>
      <c r="I224" s="202"/>
      <c r="J224" s="202"/>
      <c r="K224" s="20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>
      <c r="A225" s="191"/>
      <c r="B225" s="202"/>
      <c r="C225" s="202" t="s">
        <v>291</v>
      </c>
      <c r="D225" s="202"/>
      <c r="E225" s="202"/>
      <c r="F225" s="202"/>
      <c r="G225" s="202"/>
      <c r="H225" s="202"/>
      <c r="I225" s="202"/>
      <c r="J225" s="202"/>
      <c r="K225" s="20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>
      <c r="A226" s="191" t="s">
        <v>264</v>
      </c>
      <c r="B226" s="202"/>
      <c r="C226" s="202" t="s">
        <v>275</v>
      </c>
      <c r="D226" s="202"/>
      <c r="E226" s="202"/>
      <c r="F226" s="202"/>
      <c r="G226" s="202"/>
      <c r="H226" s="202"/>
      <c r="I226" s="202"/>
      <c r="J226" s="202"/>
      <c r="K226" s="20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>
      <c r="A227" s="191"/>
      <c r="B227" s="202"/>
      <c r="C227" s="202" t="s">
        <v>277</v>
      </c>
      <c r="D227" s="202"/>
      <c r="E227" s="202"/>
      <c r="F227" s="202"/>
      <c r="G227" s="202"/>
      <c r="H227" s="202"/>
      <c r="I227" s="202"/>
      <c r="J227" s="202"/>
      <c r="K227" s="20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>
      <c r="A228" s="191"/>
      <c r="B228" s="202"/>
      <c r="C228" s="202" t="s">
        <v>278</v>
      </c>
      <c r="D228" s="202"/>
      <c r="E228" s="202"/>
      <c r="F228" s="202"/>
      <c r="G228" s="202"/>
      <c r="H228" s="202"/>
      <c r="I228" s="202"/>
      <c r="J228" s="202"/>
      <c r="K228" s="20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>
      <c r="A229" s="191"/>
      <c r="B229" s="202"/>
      <c r="C229" s="202" t="s">
        <v>279</v>
      </c>
      <c r="D229" s="202"/>
      <c r="E229" s="202"/>
      <c r="F229" s="202"/>
      <c r="G229" s="202"/>
      <c r="H229" s="202"/>
      <c r="I229" s="202"/>
      <c r="J229" s="202"/>
      <c r="K229" s="20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>
      <c r="A230" s="191"/>
      <c r="B230" s="202"/>
      <c r="C230" s="202" t="s">
        <v>280</v>
      </c>
      <c r="D230" s="202"/>
      <c r="E230" s="202"/>
      <c r="F230" s="202"/>
      <c r="G230" s="202"/>
      <c r="H230" s="202"/>
      <c r="I230" s="202"/>
      <c r="J230" s="202"/>
      <c r="K230" s="20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>
      <c r="A231" s="191"/>
      <c r="B231" s="202"/>
      <c r="C231" s="202" t="s">
        <v>113</v>
      </c>
      <c r="D231" s="202"/>
      <c r="E231" s="202"/>
      <c r="F231" s="202"/>
      <c r="G231" s="202"/>
      <c r="H231" s="202"/>
      <c r="I231" s="202"/>
      <c r="J231" s="202"/>
      <c r="K231" s="20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>
      <c r="A232" s="191" t="s">
        <v>194</v>
      </c>
      <c r="B232" s="202"/>
      <c r="C232" s="202" t="s">
        <v>288</v>
      </c>
      <c r="D232" s="202" t="s">
        <v>281</v>
      </c>
      <c r="E232" s="237">
        <v>0.35</v>
      </c>
      <c r="F232" s="202"/>
      <c r="G232" s="202"/>
      <c r="H232" s="202"/>
      <c r="I232" s="202"/>
      <c r="J232" s="202"/>
      <c r="K232" s="20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>
      <c r="A233" s="191"/>
      <c r="B233" s="202"/>
      <c r="C233" s="202"/>
      <c r="D233" s="202" t="s">
        <v>282</v>
      </c>
      <c r="E233" s="237">
        <v>0</v>
      </c>
      <c r="F233" s="202" t="s">
        <v>283</v>
      </c>
      <c r="G233" s="202"/>
      <c r="H233" s="202"/>
      <c r="I233" s="202"/>
      <c r="J233" s="202"/>
      <c r="K233" s="20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>
      <c r="A234" s="191"/>
      <c r="B234" s="202"/>
      <c r="C234" s="202"/>
      <c r="D234" s="202" t="s">
        <v>284</v>
      </c>
      <c r="E234" s="237">
        <v>0</v>
      </c>
      <c r="F234" s="202" t="s">
        <v>285</v>
      </c>
      <c r="G234" s="202"/>
      <c r="H234" s="202"/>
      <c r="I234" s="202"/>
      <c r="J234" s="202"/>
      <c r="K234" s="20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>
      <c r="A235" s="238" t="s">
        <v>266</v>
      </c>
      <c r="B235" s="182"/>
      <c r="C235" s="182" t="s">
        <v>72</v>
      </c>
      <c r="D235" s="182"/>
      <c r="E235" s="182"/>
      <c r="F235" s="182"/>
      <c r="G235" s="182"/>
      <c r="H235" s="182"/>
      <c r="I235" s="182"/>
      <c r="J235" s="182"/>
      <c r="K235" s="182"/>
    </row>
    <row r="236" spans="1:40">
      <c r="A236" s="194"/>
      <c r="B236" s="194"/>
      <c r="C236" s="201" t="s">
        <v>71</v>
      </c>
      <c r="D236" s="194"/>
      <c r="E236" s="194"/>
      <c r="F236" s="194"/>
      <c r="G236" s="194"/>
      <c r="H236" s="194"/>
      <c r="I236" s="194"/>
      <c r="J236" s="194"/>
      <c r="K236" s="194"/>
    </row>
    <row r="237" spans="1:40">
      <c r="A237" s="239" t="s">
        <v>267</v>
      </c>
      <c r="B237" s="194"/>
      <c r="C237" s="201" t="s">
        <v>43</v>
      </c>
      <c r="D237" s="194"/>
      <c r="E237" s="194"/>
      <c r="F237" s="194"/>
      <c r="G237" s="194"/>
      <c r="H237" s="194"/>
      <c r="I237" s="194"/>
      <c r="J237" s="194"/>
      <c r="K237" s="194"/>
    </row>
    <row r="238" spans="1:40">
      <c r="A238" s="194"/>
      <c r="B238" s="194"/>
      <c r="C238" s="194"/>
      <c r="D238" s="194"/>
      <c r="E238" s="194"/>
      <c r="F238" s="194"/>
      <c r="G238" s="194"/>
      <c r="H238" s="194"/>
      <c r="I238" s="194"/>
      <c r="J238" s="194"/>
      <c r="K238" s="194"/>
    </row>
    <row r="239" spans="1:40">
      <c r="A239" s="194"/>
      <c r="B239" s="194"/>
      <c r="C239" s="194"/>
      <c r="D239" s="194"/>
      <c r="E239" s="194"/>
      <c r="F239" s="194"/>
      <c r="G239" s="194"/>
      <c r="H239" s="194"/>
      <c r="I239" s="194"/>
      <c r="J239" s="194"/>
      <c r="K239" s="194"/>
    </row>
    <row r="240" spans="1:40">
      <c r="A240" s="194"/>
      <c r="B240" s="194"/>
      <c r="C240" s="194"/>
      <c r="D240" s="194"/>
      <c r="E240" s="194"/>
      <c r="F240" s="194"/>
      <c r="G240" s="194"/>
      <c r="H240" s="194"/>
      <c r="I240" s="194"/>
      <c r="J240" s="194"/>
      <c r="K240" s="194"/>
    </row>
  </sheetData>
  <mergeCells count="13">
    <mergeCell ref="A4:K4"/>
    <mergeCell ref="A5:K5"/>
    <mergeCell ref="A7:K7"/>
    <mergeCell ref="A66:K66"/>
    <mergeCell ref="A67:K67"/>
    <mergeCell ref="A69:K69"/>
    <mergeCell ref="A203:K203"/>
    <mergeCell ref="A204:K204"/>
    <mergeCell ref="A206:K206"/>
    <mergeCell ref="A130:K130"/>
    <mergeCell ref="A125:K125"/>
    <mergeCell ref="A126:K126"/>
    <mergeCell ref="A128:K128"/>
  </mergeCells>
  <phoneticPr fontId="21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3:P77"/>
  <sheetViews>
    <sheetView zoomScaleNormal="100" zoomScalePageLayoutView="81" workbookViewId="0">
      <selection activeCell="K76" sqref="K76"/>
    </sheetView>
  </sheetViews>
  <sheetFormatPr defaultRowHeight="12.75"/>
  <cols>
    <col min="1" max="1" width="3.77734375" style="112" customWidth="1"/>
    <col min="2" max="2" width="2.5546875" style="112" customWidth="1"/>
    <col min="3" max="3" width="3" style="112" customWidth="1"/>
    <col min="4" max="4" width="2.44140625" style="112" customWidth="1"/>
    <col min="5" max="6" width="8.88671875" style="112"/>
    <col min="7" max="7" width="1.77734375" style="112" customWidth="1"/>
    <col min="8" max="11" width="8.88671875" style="112"/>
    <col min="12" max="12" width="15" style="112" customWidth="1"/>
    <col min="13" max="13" width="11.88671875" style="112" customWidth="1"/>
    <col min="14" max="14" width="10.33203125" style="112" customWidth="1"/>
    <col min="15" max="15" width="9.88671875" style="112" bestFit="1" customWidth="1"/>
    <col min="16" max="16384" width="8.88671875" style="112"/>
  </cols>
  <sheetData>
    <row r="3" spans="1:16" ht="15.7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324"/>
      <c r="M3" s="324"/>
      <c r="N3" s="324" t="s">
        <v>419</v>
      </c>
      <c r="O3" s="326">
        <f>+'True-Up'!J1</f>
        <v>43251</v>
      </c>
      <c r="P3" s="146"/>
    </row>
    <row r="4" spans="1:16">
      <c r="L4" s="324"/>
      <c r="M4" s="324"/>
      <c r="N4" s="324" t="s">
        <v>166</v>
      </c>
      <c r="O4" s="325">
        <f>+'True-Up'!J2</f>
        <v>2017</v>
      </c>
    </row>
    <row r="5" spans="1:16" ht="15.75">
      <c r="A5" s="389" t="s">
        <v>433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</row>
    <row r="6" spans="1:16">
      <c r="A6" s="141" t="s">
        <v>196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>
      <c r="A7" s="142" t="s">
        <v>197</v>
      </c>
    </row>
    <row r="8" spans="1:16" s="122" customFormat="1">
      <c r="A8" s="167">
        <v>1</v>
      </c>
      <c r="B8" s="243" t="s">
        <v>389</v>
      </c>
    </row>
    <row r="9" spans="1:16" s="122" customFormat="1">
      <c r="A9" s="167">
        <f>A8+1</f>
        <v>2</v>
      </c>
    </row>
    <row r="10" spans="1:16" s="122" customFormat="1">
      <c r="A10" s="167">
        <f t="shared" ref="A10:A74" si="0">A9+1</f>
        <v>3</v>
      </c>
      <c r="B10" s="122" t="s">
        <v>145</v>
      </c>
      <c r="D10" s="243" t="s">
        <v>390</v>
      </c>
    </row>
    <row r="11" spans="1:16" s="122" customFormat="1">
      <c r="A11" s="167">
        <f t="shared" si="0"/>
        <v>4</v>
      </c>
      <c r="E11" s="122" t="s">
        <v>149</v>
      </c>
    </row>
    <row r="12" spans="1:16" s="122" customFormat="1">
      <c r="A12" s="167">
        <f t="shared" si="0"/>
        <v>5</v>
      </c>
      <c r="E12" s="122" t="s">
        <v>146</v>
      </c>
    </row>
    <row r="13" spans="1:16" s="122" customFormat="1">
      <c r="A13" s="167">
        <f t="shared" si="0"/>
        <v>6</v>
      </c>
      <c r="E13" s="122" t="s">
        <v>147</v>
      </c>
    </row>
    <row r="14" spans="1:16" s="122" customFormat="1">
      <c r="A14" s="167">
        <f t="shared" si="0"/>
        <v>7</v>
      </c>
    </row>
    <row r="15" spans="1:16" s="122" customFormat="1">
      <c r="A15" s="167">
        <f t="shared" si="0"/>
        <v>8</v>
      </c>
      <c r="B15" s="122" t="s">
        <v>148</v>
      </c>
      <c r="D15" s="122" t="s">
        <v>150</v>
      </c>
    </row>
    <row r="16" spans="1:16" s="122" customFormat="1">
      <c r="A16" s="167">
        <f t="shared" si="0"/>
        <v>9</v>
      </c>
      <c r="E16" s="122" t="s">
        <v>151</v>
      </c>
    </row>
    <row r="17" spans="1:8" s="122" customFormat="1">
      <c r="A17" s="167">
        <f t="shared" si="0"/>
        <v>10</v>
      </c>
    </row>
    <row r="18" spans="1:8" s="122" customFormat="1">
      <c r="A18" s="167">
        <f t="shared" si="0"/>
        <v>11</v>
      </c>
      <c r="B18" s="122" t="s">
        <v>152</v>
      </c>
      <c r="D18" s="122" t="s">
        <v>153</v>
      </c>
    </row>
    <row r="19" spans="1:8" s="122" customFormat="1">
      <c r="A19" s="167">
        <f t="shared" si="0"/>
        <v>12</v>
      </c>
    </row>
    <row r="20" spans="1:8" s="122" customFormat="1">
      <c r="A20" s="167">
        <f t="shared" si="0"/>
        <v>13</v>
      </c>
      <c r="D20" s="122" t="s">
        <v>21</v>
      </c>
    </row>
    <row r="21" spans="1:8" s="122" customFormat="1">
      <c r="A21" s="167">
        <f t="shared" si="0"/>
        <v>14</v>
      </c>
    </row>
    <row r="22" spans="1:8" s="122" customFormat="1">
      <c r="A22" s="167">
        <f t="shared" si="0"/>
        <v>15</v>
      </c>
      <c r="D22" s="122" t="s">
        <v>154</v>
      </c>
      <c r="F22" s="168" t="s">
        <v>155</v>
      </c>
      <c r="G22" s="122" t="s">
        <v>19</v>
      </c>
    </row>
    <row r="23" spans="1:8" s="122" customFormat="1">
      <c r="A23" s="167">
        <f t="shared" si="0"/>
        <v>16</v>
      </c>
      <c r="H23" s="122" t="s">
        <v>115</v>
      </c>
    </row>
    <row r="24" spans="1:8" s="122" customFormat="1">
      <c r="A24" s="167">
        <f t="shared" si="0"/>
        <v>17</v>
      </c>
      <c r="H24" s="122" t="s">
        <v>20</v>
      </c>
    </row>
    <row r="25" spans="1:8" s="122" customFormat="1">
      <c r="A25" s="167">
        <f t="shared" si="0"/>
        <v>18</v>
      </c>
    </row>
    <row r="26" spans="1:8" s="122" customFormat="1">
      <c r="A26" s="167">
        <f t="shared" si="0"/>
        <v>19</v>
      </c>
      <c r="B26" s="169" t="s">
        <v>426</v>
      </c>
    </row>
    <row r="27" spans="1:8" s="122" customFormat="1">
      <c r="A27" s="167">
        <f t="shared" si="0"/>
        <v>20</v>
      </c>
    </row>
    <row r="28" spans="1:8" s="122" customFormat="1">
      <c r="A28" s="167">
        <f t="shared" si="0"/>
        <v>21</v>
      </c>
      <c r="E28" s="113" t="s">
        <v>187</v>
      </c>
      <c r="F28" s="113" t="s">
        <v>188</v>
      </c>
      <c r="G28" s="170" t="s">
        <v>189</v>
      </c>
    </row>
    <row r="29" spans="1:8" s="122" customFormat="1">
      <c r="A29" s="167">
        <f t="shared" si="0"/>
        <v>22</v>
      </c>
      <c r="B29" s="171" t="s">
        <v>50</v>
      </c>
      <c r="E29" s="113"/>
      <c r="F29" s="113"/>
      <c r="G29" s="172"/>
    </row>
    <row r="30" spans="1:8" s="122" customFormat="1">
      <c r="A30" s="167">
        <f t="shared" si="0"/>
        <v>23</v>
      </c>
      <c r="C30" s="122" t="s">
        <v>53</v>
      </c>
      <c r="E30" s="113" t="s">
        <v>191</v>
      </c>
      <c r="F30" s="327">
        <v>2010</v>
      </c>
      <c r="G30" s="244" t="s">
        <v>427</v>
      </c>
      <c r="H30" s="243"/>
    </row>
    <row r="31" spans="1:8" s="122" customFormat="1">
      <c r="A31" s="167">
        <f t="shared" si="0"/>
        <v>24</v>
      </c>
      <c r="C31" s="122" t="s">
        <v>54</v>
      </c>
      <c r="E31" s="113" t="s">
        <v>191</v>
      </c>
      <c r="F31" s="327">
        <v>2010</v>
      </c>
      <c r="G31" s="244" t="s">
        <v>428</v>
      </c>
      <c r="H31" s="243"/>
    </row>
    <row r="32" spans="1:8" s="122" customFormat="1">
      <c r="A32" s="167">
        <f t="shared" si="0"/>
        <v>25</v>
      </c>
      <c r="C32" s="122" t="s">
        <v>55</v>
      </c>
      <c r="E32" s="113" t="str">
        <f>+E30</f>
        <v>May</v>
      </c>
      <c r="F32" s="327">
        <v>2010</v>
      </c>
      <c r="G32" s="244" t="s">
        <v>429</v>
      </c>
      <c r="H32" s="243"/>
    </row>
    <row r="33" spans="1:8" s="122" customFormat="1">
      <c r="A33" s="167">
        <f t="shared" si="0"/>
        <v>26</v>
      </c>
      <c r="C33" s="122" t="s">
        <v>56</v>
      </c>
      <c r="E33" s="113" t="s">
        <v>51</v>
      </c>
      <c r="F33" s="327">
        <v>2010</v>
      </c>
      <c r="G33" s="244" t="s">
        <v>52</v>
      </c>
      <c r="H33" s="243"/>
    </row>
    <row r="34" spans="1:8" s="122" customFormat="1">
      <c r="A34" s="167">
        <f t="shared" si="0"/>
        <v>27</v>
      </c>
      <c r="E34" s="113"/>
      <c r="F34" s="113"/>
      <c r="G34" s="170"/>
    </row>
    <row r="35" spans="1:8" s="122" customFormat="1">
      <c r="A35" s="167">
        <f t="shared" si="0"/>
        <v>28</v>
      </c>
      <c r="B35" s="171" t="s">
        <v>58</v>
      </c>
      <c r="E35" s="173"/>
      <c r="F35" s="113"/>
      <c r="G35" s="170"/>
    </row>
    <row r="36" spans="1:8" s="122" customFormat="1">
      <c r="A36" s="167">
        <f t="shared" si="0"/>
        <v>29</v>
      </c>
      <c r="C36" s="122" t="s">
        <v>57</v>
      </c>
      <c r="E36" s="113" t="s">
        <v>182</v>
      </c>
      <c r="F36" s="327">
        <v>2010</v>
      </c>
      <c r="G36" s="244" t="s">
        <v>430</v>
      </c>
      <c r="H36" s="243"/>
    </row>
    <row r="37" spans="1:8" s="122" customFormat="1">
      <c r="A37" s="167">
        <f t="shared" si="0"/>
        <v>30</v>
      </c>
      <c r="C37" s="122" t="s">
        <v>59</v>
      </c>
      <c r="E37" s="113" t="s">
        <v>182</v>
      </c>
      <c r="F37" s="327">
        <v>2010</v>
      </c>
      <c r="G37" s="244" t="s">
        <v>431</v>
      </c>
      <c r="H37" s="243"/>
    </row>
    <row r="38" spans="1:8" s="122" customFormat="1">
      <c r="A38" s="167">
        <f t="shared" si="0"/>
        <v>31</v>
      </c>
      <c r="C38" s="122" t="s">
        <v>60</v>
      </c>
      <c r="E38" s="113" t="s">
        <v>182</v>
      </c>
      <c r="F38" s="327">
        <v>2010</v>
      </c>
      <c r="G38" s="244" t="s">
        <v>44</v>
      </c>
      <c r="H38" s="243"/>
    </row>
    <row r="39" spans="1:8" s="122" customFormat="1">
      <c r="A39" s="167">
        <f t="shared" si="0"/>
        <v>32</v>
      </c>
      <c r="C39" s="122" t="s">
        <v>61</v>
      </c>
      <c r="E39" s="113" t="s">
        <v>182</v>
      </c>
      <c r="F39" s="327">
        <v>2010</v>
      </c>
      <c r="G39" s="244" t="s">
        <v>63</v>
      </c>
      <c r="H39" s="243"/>
    </row>
    <row r="40" spans="1:8" s="122" customFormat="1">
      <c r="A40" s="167">
        <f t="shared" si="0"/>
        <v>33</v>
      </c>
      <c r="C40" s="122" t="s">
        <v>62</v>
      </c>
      <c r="E40" s="113" t="s">
        <v>157</v>
      </c>
      <c r="F40" s="327">
        <v>2010</v>
      </c>
      <c r="G40" s="244" t="s">
        <v>24</v>
      </c>
      <c r="H40" s="243"/>
    </row>
    <row r="41" spans="1:8" s="122" customFormat="1">
      <c r="A41" s="167">
        <f t="shared" si="0"/>
        <v>34</v>
      </c>
      <c r="C41" s="122" t="s">
        <v>23</v>
      </c>
      <c r="E41" s="173" t="s">
        <v>159</v>
      </c>
      <c r="F41" s="327">
        <v>2011</v>
      </c>
      <c r="G41" s="244" t="s">
        <v>64</v>
      </c>
      <c r="H41" s="243"/>
    </row>
    <row r="42" spans="1:8" s="122" customFormat="1">
      <c r="A42" s="167">
        <f t="shared" si="0"/>
        <v>35</v>
      </c>
    </row>
    <row r="43" spans="1:8" s="122" customFormat="1">
      <c r="A43" s="167">
        <f t="shared" si="0"/>
        <v>36</v>
      </c>
      <c r="E43" s="122" t="s">
        <v>160</v>
      </c>
      <c r="F43" s="122" t="s">
        <v>161</v>
      </c>
    </row>
    <row r="44" spans="1:8" s="122" customFormat="1">
      <c r="A44" s="167">
        <f t="shared" si="0"/>
        <v>37</v>
      </c>
      <c r="F44" s="122" t="s">
        <v>162</v>
      </c>
    </row>
    <row r="45" spans="1:8" s="122" customFormat="1">
      <c r="A45" s="167">
        <f t="shared" si="0"/>
        <v>38</v>
      </c>
      <c r="F45" s="122" t="s">
        <v>163</v>
      </c>
    </row>
    <row r="46" spans="1:8" s="122" customFormat="1">
      <c r="A46" s="167">
        <f t="shared" si="0"/>
        <v>39</v>
      </c>
      <c r="F46" s="122" t="s">
        <v>116</v>
      </c>
    </row>
    <row r="47" spans="1:8" s="122" customFormat="1">
      <c r="A47" s="167">
        <f t="shared" si="0"/>
        <v>40</v>
      </c>
      <c r="F47" s="122" t="s">
        <v>174</v>
      </c>
    </row>
    <row r="48" spans="1:8" s="122" customFormat="1">
      <c r="A48" s="167">
        <f t="shared" si="0"/>
        <v>41</v>
      </c>
      <c r="F48" s="122" t="s">
        <v>175</v>
      </c>
    </row>
    <row r="49" spans="1:15" s="122" customFormat="1">
      <c r="A49" s="167">
        <f t="shared" si="0"/>
        <v>42</v>
      </c>
    </row>
    <row r="50" spans="1:15" s="122" customFormat="1">
      <c r="A50" s="167">
        <f t="shared" si="0"/>
        <v>43</v>
      </c>
      <c r="F50" s="243" t="s">
        <v>388</v>
      </c>
    </row>
    <row r="51" spans="1:15">
      <c r="A51" s="139">
        <f t="shared" si="0"/>
        <v>44</v>
      </c>
      <c r="D51" s="144"/>
      <c r="E51" s="144"/>
      <c r="F51" s="144"/>
      <c r="G51" s="144"/>
      <c r="H51" s="144"/>
      <c r="I51" s="144"/>
      <c r="J51" s="144"/>
      <c r="K51" s="144"/>
      <c r="L51" s="144"/>
      <c r="M51" s="144" t="s">
        <v>207</v>
      </c>
      <c r="N51" s="144" t="s">
        <v>296</v>
      </c>
      <c r="O51" s="128"/>
    </row>
    <row r="52" spans="1:15">
      <c r="A52" s="139">
        <f t="shared" si="0"/>
        <v>45</v>
      </c>
      <c r="C52" s="112" t="s">
        <v>258</v>
      </c>
      <c r="D52" s="144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144"/>
      <c r="F52" s="144"/>
      <c r="G52" s="144"/>
      <c r="H52" s="144"/>
      <c r="I52" s="144"/>
      <c r="J52" s="144"/>
      <c r="K52" s="144"/>
      <c r="L52" s="144"/>
      <c r="M52" s="298">
        <f>+'True-Up'!J119</f>
        <v>2306943.778429918</v>
      </c>
      <c r="N52" s="298">
        <f>+'BHP Sch. 1'!D22</f>
        <v>235134</v>
      </c>
      <c r="O52" s="130"/>
    </row>
    <row r="53" spans="1:15">
      <c r="A53" s="139">
        <f t="shared" si="0"/>
        <v>46</v>
      </c>
      <c r="C53" s="112" t="s">
        <v>259</v>
      </c>
      <c r="D53" s="144" t="s">
        <v>45</v>
      </c>
      <c r="E53" s="144"/>
      <c r="F53" s="144"/>
      <c r="G53" s="144"/>
      <c r="H53" s="144"/>
      <c r="I53" s="144"/>
      <c r="J53" s="144"/>
      <c r="K53" s="299"/>
      <c r="L53" s="144"/>
      <c r="M53" s="300">
        <f>ROUND((1+$K$77)^18,2)</f>
        <v>1.06</v>
      </c>
      <c r="N53" s="300">
        <f>ROUND((1+$K$77)^18,2)</f>
        <v>1.06</v>
      </c>
      <c r="O53" s="130"/>
    </row>
    <row r="54" spans="1:15">
      <c r="A54" s="139">
        <f t="shared" si="0"/>
        <v>47</v>
      </c>
      <c r="C54" s="112" t="s">
        <v>260</v>
      </c>
      <c r="D54" s="144" t="s">
        <v>432</v>
      </c>
      <c r="E54" s="144"/>
      <c r="F54" s="144"/>
      <c r="G54" s="144"/>
      <c r="H54" s="144"/>
      <c r="I54" s="144"/>
      <c r="J54" s="144"/>
      <c r="K54" s="299"/>
      <c r="L54" s="144"/>
      <c r="M54" s="301">
        <f>+M52*M53</f>
        <v>2445360.4051357131</v>
      </c>
      <c r="N54" s="301">
        <f>+N52*N53</f>
        <v>249242.04</v>
      </c>
      <c r="O54" s="130"/>
    </row>
    <row r="55" spans="1:15">
      <c r="A55" s="139">
        <f t="shared" si="0"/>
        <v>48</v>
      </c>
      <c r="K55" s="114"/>
      <c r="O55" s="114"/>
    </row>
    <row r="56" spans="1:15">
      <c r="A56" s="139">
        <f t="shared" si="0"/>
        <v>49</v>
      </c>
      <c r="E56" s="112" t="s">
        <v>154</v>
      </c>
      <c r="F56" s="112" t="s">
        <v>176</v>
      </c>
      <c r="K56" s="114"/>
      <c r="M56" s="128"/>
      <c r="O56" s="114"/>
    </row>
    <row r="57" spans="1:15">
      <c r="A57" s="139">
        <f t="shared" si="0"/>
        <v>50</v>
      </c>
      <c r="K57" s="114"/>
      <c r="N57" s="114"/>
      <c r="O57" s="114"/>
    </row>
    <row r="58" spans="1:15">
      <c r="A58" s="139">
        <f t="shared" si="0"/>
        <v>51</v>
      </c>
      <c r="D58" s="114" t="s">
        <v>177</v>
      </c>
      <c r="E58" s="114"/>
      <c r="F58" s="114"/>
      <c r="G58" s="114"/>
      <c r="H58" s="114"/>
      <c r="I58" s="114"/>
      <c r="J58" s="114"/>
      <c r="K58" s="114"/>
    </row>
    <row r="59" spans="1:15">
      <c r="A59" s="139">
        <f t="shared" si="0"/>
        <v>52</v>
      </c>
      <c r="D59" s="114"/>
      <c r="E59" s="114"/>
      <c r="F59" s="114"/>
      <c r="G59" s="114"/>
      <c r="H59" s="114"/>
      <c r="I59" s="114"/>
      <c r="J59" s="114"/>
      <c r="K59" s="129" t="s">
        <v>11</v>
      </c>
    </row>
    <row r="60" spans="1:15">
      <c r="A60" s="139">
        <f t="shared" si="0"/>
        <v>53</v>
      </c>
      <c r="D60" s="114"/>
      <c r="E60" s="116" t="s">
        <v>187</v>
      </c>
      <c r="F60" s="115"/>
      <c r="G60" s="115"/>
      <c r="H60" s="116" t="s">
        <v>188</v>
      </c>
      <c r="I60" s="145"/>
      <c r="J60" s="114"/>
      <c r="K60" s="116" t="s">
        <v>178</v>
      </c>
    </row>
    <row r="61" spans="1:15">
      <c r="A61" s="139">
        <f t="shared" si="0"/>
        <v>54</v>
      </c>
      <c r="E61" s="112" t="s">
        <v>159</v>
      </c>
      <c r="H61" s="112" t="s">
        <v>185</v>
      </c>
      <c r="K61" s="335">
        <v>3.0000000000000001E-3</v>
      </c>
    </row>
    <row r="62" spans="1:15">
      <c r="A62" s="139">
        <f t="shared" si="0"/>
        <v>55</v>
      </c>
      <c r="E62" s="112" t="s">
        <v>179</v>
      </c>
      <c r="H62" s="112" t="s">
        <v>185</v>
      </c>
      <c r="K62" s="335">
        <v>2.7000000000000001E-3</v>
      </c>
    </row>
    <row r="63" spans="1:15">
      <c r="A63" s="139">
        <f t="shared" si="0"/>
        <v>56</v>
      </c>
      <c r="E63" s="112" t="s">
        <v>180</v>
      </c>
      <c r="H63" s="112" t="s">
        <v>185</v>
      </c>
      <c r="K63" s="335">
        <v>3.0000000000000001E-3</v>
      </c>
    </row>
    <row r="64" spans="1:15">
      <c r="A64" s="139">
        <f t="shared" si="0"/>
        <v>57</v>
      </c>
      <c r="E64" s="112" t="s">
        <v>190</v>
      </c>
      <c r="H64" s="112" t="s">
        <v>185</v>
      </c>
      <c r="K64" s="335">
        <v>3.0000000000000001E-3</v>
      </c>
    </row>
    <row r="65" spans="1:11">
      <c r="A65" s="139">
        <f t="shared" si="0"/>
        <v>58</v>
      </c>
      <c r="E65" s="112" t="s">
        <v>191</v>
      </c>
      <c r="H65" s="112" t="s">
        <v>185</v>
      </c>
      <c r="K65" s="335">
        <v>3.2000000000000002E-3</v>
      </c>
    </row>
    <row r="66" spans="1:11">
      <c r="A66" s="139">
        <f t="shared" si="0"/>
        <v>59</v>
      </c>
      <c r="E66" s="112" t="s">
        <v>192</v>
      </c>
      <c r="H66" s="112" t="s">
        <v>185</v>
      </c>
      <c r="K66" s="335">
        <v>3.0000000000000001E-3</v>
      </c>
    </row>
    <row r="67" spans="1:11">
      <c r="A67" s="139">
        <f t="shared" si="0"/>
        <v>60</v>
      </c>
      <c r="E67" s="112" t="s">
        <v>181</v>
      </c>
      <c r="H67" s="112" t="s">
        <v>185</v>
      </c>
      <c r="K67" s="335">
        <v>3.3999999999999998E-3</v>
      </c>
    </row>
    <row r="68" spans="1:11">
      <c r="A68" s="139">
        <f t="shared" si="0"/>
        <v>61</v>
      </c>
      <c r="E68" s="112" t="s">
        <v>156</v>
      </c>
      <c r="H68" s="112" t="s">
        <v>185</v>
      </c>
      <c r="K68" s="335">
        <v>3.3999999999999998E-3</v>
      </c>
    </row>
    <row r="69" spans="1:11">
      <c r="A69" s="139">
        <f t="shared" si="0"/>
        <v>62</v>
      </c>
      <c r="E69" s="112" t="s">
        <v>182</v>
      </c>
      <c r="H69" s="112" t="s">
        <v>185</v>
      </c>
      <c r="K69" s="335">
        <v>3.3E-3</v>
      </c>
    </row>
    <row r="70" spans="1:11">
      <c r="A70" s="139">
        <f t="shared" si="0"/>
        <v>63</v>
      </c>
      <c r="E70" s="112" t="s">
        <v>157</v>
      </c>
      <c r="H70" s="112" t="s">
        <v>185</v>
      </c>
      <c r="K70" s="335">
        <v>3.5999999999999999E-3</v>
      </c>
    </row>
    <row r="71" spans="1:11">
      <c r="A71" s="139">
        <f t="shared" si="0"/>
        <v>64</v>
      </c>
      <c r="E71" s="112" t="s">
        <v>158</v>
      </c>
      <c r="H71" s="112" t="s">
        <v>185</v>
      </c>
      <c r="K71" s="335">
        <v>3.5000000000000001E-3</v>
      </c>
    </row>
    <row r="72" spans="1:11">
      <c r="A72" s="139">
        <f t="shared" si="0"/>
        <v>65</v>
      </c>
      <c r="E72" s="112" t="s">
        <v>183</v>
      </c>
      <c r="H72" s="112" t="s">
        <v>185</v>
      </c>
      <c r="K72" s="335">
        <v>3.5999999999999999E-3</v>
      </c>
    </row>
    <row r="73" spans="1:11">
      <c r="A73" s="139">
        <f t="shared" si="0"/>
        <v>66</v>
      </c>
      <c r="E73" s="112" t="s">
        <v>159</v>
      </c>
      <c r="H73" s="112" t="s">
        <v>186</v>
      </c>
      <c r="K73" s="335">
        <v>3.5999999999999999E-3</v>
      </c>
    </row>
    <row r="74" spans="1:11">
      <c r="A74" s="139">
        <f t="shared" si="0"/>
        <v>67</v>
      </c>
      <c r="E74" s="112" t="s">
        <v>179</v>
      </c>
      <c r="H74" s="112" t="s">
        <v>186</v>
      </c>
      <c r="K74" s="335">
        <v>3.3E-3</v>
      </c>
    </row>
    <row r="75" spans="1:11">
      <c r="A75" s="139">
        <f>A74+1</f>
        <v>68</v>
      </c>
      <c r="E75" s="112" t="s">
        <v>180</v>
      </c>
      <c r="H75" s="112" t="s">
        <v>186</v>
      </c>
      <c r="K75" s="335">
        <v>3.5999999999999999E-3</v>
      </c>
    </row>
    <row r="76" spans="1:11">
      <c r="A76" s="139">
        <f>A75+1</f>
        <v>69</v>
      </c>
      <c r="E76" s="112" t="s">
        <v>190</v>
      </c>
      <c r="H76" s="112" t="s">
        <v>186</v>
      </c>
      <c r="K76" s="335">
        <v>3.7000000000000002E-3</v>
      </c>
    </row>
    <row r="77" spans="1:11">
      <c r="A77" s="139">
        <f>A76+1</f>
        <v>70</v>
      </c>
      <c r="F77" s="112" t="s">
        <v>184</v>
      </c>
      <c r="K77" s="117">
        <f>ROUND(AVERAGE(K61:K76),6)</f>
        <v>3.3059999999999999E-3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H34"/>
  <sheetViews>
    <sheetView zoomScaleNormal="100" workbookViewId="0">
      <selection activeCell="K15" sqref="K15"/>
    </sheetView>
  </sheetViews>
  <sheetFormatPr defaultColWidth="7.109375" defaultRowHeight="12.75"/>
  <cols>
    <col min="1" max="1" width="10.21875" style="53" customWidth="1"/>
    <col min="2" max="2" width="3.5546875" style="53" customWidth="1"/>
    <col min="3" max="4" width="1.77734375" style="53" customWidth="1"/>
    <col min="5" max="5" width="4" style="53" customWidth="1"/>
    <col min="6" max="6" width="24.21875" style="53" customWidth="1"/>
    <col min="7" max="7" width="1.88671875" style="53" customWidth="1"/>
    <col min="8" max="8" width="8.21875" style="56" customWidth="1"/>
    <col min="9" max="9" width="8.21875" style="53" customWidth="1"/>
    <col min="10" max="16384" width="7.109375" style="53"/>
  </cols>
  <sheetData>
    <row r="3" spans="1:8">
      <c r="F3" s="127"/>
    </row>
    <row r="4" spans="1:8">
      <c r="A4" s="390" t="s">
        <v>434</v>
      </c>
      <c r="B4" s="390"/>
      <c r="C4" s="390"/>
      <c r="D4" s="390"/>
      <c r="E4" s="390"/>
      <c r="F4" s="390"/>
      <c r="G4" s="390"/>
      <c r="H4" s="390"/>
    </row>
    <row r="5" spans="1:8">
      <c r="B5" s="102" t="s">
        <v>196</v>
      </c>
      <c r="H5" s="319" t="s">
        <v>418</v>
      </c>
    </row>
    <row r="6" spans="1:8">
      <c r="B6" s="103" t="s">
        <v>197</v>
      </c>
      <c r="D6" s="124" t="s">
        <v>342</v>
      </c>
      <c r="E6" s="124"/>
      <c r="F6" s="124"/>
      <c r="H6" s="125" t="s">
        <v>172</v>
      </c>
    </row>
    <row r="7" spans="1:8">
      <c r="B7" s="54">
        <v>1</v>
      </c>
    </row>
    <row r="8" spans="1:8">
      <c r="B8" s="54">
        <v>2</v>
      </c>
      <c r="D8" s="55" t="s">
        <v>111</v>
      </c>
      <c r="E8" s="55"/>
    </row>
    <row r="9" spans="1:8">
      <c r="B9" s="54">
        <v>3</v>
      </c>
    </row>
    <row r="10" spans="1:8">
      <c r="B10" s="54">
        <v>4</v>
      </c>
      <c r="E10" s="53">
        <v>350</v>
      </c>
      <c r="F10" s="57" t="s">
        <v>343</v>
      </c>
      <c r="H10" s="330">
        <v>0</v>
      </c>
    </row>
    <row r="11" spans="1:8">
      <c r="B11" s="54">
        <v>5</v>
      </c>
      <c r="E11" s="53">
        <v>352</v>
      </c>
      <c r="F11" s="57" t="s">
        <v>344</v>
      </c>
      <c r="H11" s="330">
        <v>2.3900000000000001E-2</v>
      </c>
    </row>
    <row r="12" spans="1:8">
      <c r="B12" s="54">
        <v>6</v>
      </c>
      <c r="E12" s="53">
        <v>353</v>
      </c>
      <c r="F12" s="57" t="s">
        <v>345</v>
      </c>
      <c r="H12" s="330">
        <v>2.6599999999999999E-2</v>
      </c>
    </row>
    <row r="13" spans="1:8">
      <c r="B13" s="54">
        <v>7</v>
      </c>
      <c r="E13" s="53">
        <v>354</v>
      </c>
      <c r="F13" s="57" t="s">
        <v>346</v>
      </c>
      <c r="H13" s="330">
        <v>2.0400000000000001E-2</v>
      </c>
    </row>
    <row r="14" spans="1:8">
      <c r="B14" s="54">
        <v>8</v>
      </c>
      <c r="E14" s="53">
        <v>355</v>
      </c>
      <c r="F14" s="57" t="s">
        <v>347</v>
      </c>
      <c r="H14" s="330">
        <v>2.2200000000000001E-2</v>
      </c>
    </row>
    <row r="15" spans="1:8">
      <c r="B15" s="54">
        <v>9</v>
      </c>
      <c r="E15" s="53">
        <v>356</v>
      </c>
      <c r="F15" s="57" t="s">
        <v>348</v>
      </c>
      <c r="H15" s="330">
        <v>2.0400000000000001E-2</v>
      </c>
    </row>
    <row r="16" spans="1:8">
      <c r="B16" s="54">
        <v>10</v>
      </c>
      <c r="E16" s="53">
        <v>359</v>
      </c>
      <c r="F16" s="57" t="s">
        <v>349</v>
      </c>
      <c r="H16" s="330">
        <v>1.95E-2</v>
      </c>
    </row>
    <row r="17" spans="2:8">
      <c r="B17" s="54">
        <v>11</v>
      </c>
      <c r="F17" s="57" t="s">
        <v>4</v>
      </c>
      <c r="H17" s="330">
        <v>2.3199999999999998E-2</v>
      </c>
    </row>
    <row r="18" spans="2:8">
      <c r="B18" s="54">
        <v>12</v>
      </c>
      <c r="H18" s="330"/>
    </row>
    <row r="19" spans="2:8">
      <c r="B19" s="54">
        <v>13</v>
      </c>
      <c r="D19" s="55" t="s">
        <v>100</v>
      </c>
      <c r="H19" s="330"/>
    </row>
    <row r="20" spans="2:8">
      <c r="B20" s="54">
        <v>14</v>
      </c>
      <c r="H20" s="330"/>
    </row>
    <row r="21" spans="2:8">
      <c r="B21" s="54">
        <v>15</v>
      </c>
      <c r="E21" s="53">
        <v>389</v>
      </c>
      <c r="F21" s="296" t="s">
        <v>343</v>
      </c>
      <c r="H21" s="330">
        <v>0</v>
      </c>
    </row>
    <row r="22" spans="2:8">
      <c r="B22" s="54">
        <v>16</v>
      </c>
      <c r="E22" s="53">
        <v>390</v>
      </c>
      <c r="F22" s="57" t="s">
        <v>344</v>
      </c>
      <c r="H22" s="330">
        <v>4.7300000000000002E-2</v>
      </c>
    </row>
    <row r="23" spans="2:8">
      <c r="B23" s="54">
        <v>17</v>
      </c>
      <c r="E23" s="53">
        <v>391</v>
      </c>
      <c r="F23" s="57" t="s">
        <v>350</v>
      </c>
      <c r="H23" s="330">
        <v>0.1056</v>
      </c>
    </row>
    <row r="24" spans="2:8">
      <c r="B24" s="54">
        <v>18</v>
      </c>
      <c r="E24" s="53">
        <v>392</v>
      </c>
      <c r="F24" s="57" t="s">
        <v>351</v>
      </c>
      <c r="H24" s="330">
        <v>9.06E-2</v>
      </c>
    </row>
    <row r="25" spans="2:8">
      <c r="B25" s="54">
        <v>19</v>
      </c>
      <c r="E25" s="53">
        <v>393</v>
      </c>
      <c r="F25" s="57" t="s">
        <v>352</v>
      </c>
      <c r="H25" s="330">
        <v>4.2299999999999997E-2</v>
      </c>
    </row>
    <row r="26" spans="2:8">
      <c r="B26" s="54">
        <v>20</v>
      </c>
      <c r="E26" s="53">
        <v>394</v>
      </c>
      <c r="F26" s="57" t="s">
        <v>13</v>
      </c>
      <c r="H26" s="330">
        <v>4.2299999999999997E-2</v>
      </c>
    </row>
    <row r="27" spans="2:8">
      <c r="B27" s="54">
        <v>21</v>
      </c>
      <c r="E27" s="53">
        <v>395</v>
      </c>
      <c r="F27" s="57" t="s">
        <v>353</v>
      </c>
      <c r="H27" s="330">
        <v>3.0599999999999999E-2</v>
      </c>
    </row>
    <row r="28" spans="2:8">
      <c r="B28" s="54">
        <v>22</v>
      </c>
      <c r="E28" s="53">
        <v>396</v>
      </c>
      <c r="F28" s="57" t="s">
        <v>354</v>
      </c>
      <c r="H28" s="330">
        <v>4.2299999999999997E-2</v>
      </c>
    </row>
    <row r="29" spans="2:8">
      <c r="B29" s="54">
        <v>23</v>
      </c>
      <c r="E29" s="53">
        <v>397</v>
      </c>
      <c r="F29" s="57" t="s">
        <v>355</v>
      </c>
      <c r="H29" s="330">
        <v>4.3900000000000002E-2</v>
      </c>
    </row>
    <row r="30" spans="2:8">
      <c r="B30" s="54">
        <v>24</v>
      </c>
      <c r="E30" s="53">
        <v>398</v>
      </c>
      <c r="F30" s="57" t="s">
        <v>356</v>
      </c>
      <c r="H30" s="330">
        <v>5.8099999999999999E-2</v>
      </c>
    </row>
    <row r="31" spans="2:8">
      <c r="B31" s="317">
        <v>25</v>
      </c>
      <c r="C31" s="62"/>
      <c r="D31" s="62"/>
      <c r="E31" s="62"/>
      <c r="F31" s="140" t="s">
        <v>12</v>
      </c>
      <c r="G31" s="62"/>
      <c r="H31" s="330">
        <v>6.5299999999999997E-2</v>
      </c>
    </row>
    <row r="32" spans="2:8">
      <c r="B32" s="54">
        <v>26</v>
      </c>
    </row>
    <row r="33" spans="2:6">
      <c r="B33" s="54">
        <v>27</v>
      </c>
      <c r="D33" s="57" t="s">
        <v>417</v>
      </c>
      <c r="E33" s="126"/>
      <c r="F33" s="57"/>
    </row>
    <row r="34" spans="2:6">
      <c r="F34" s="57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BR80"/>
  <sheetViews>
    <sheetView topLeftCell="D20" zoomScale="55" zoomScaleNormal="55" zoomScaleSheetLayoutView="85" workbookViewId="0">
      <selection activeCell="G30" sqref="G30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4.44140625" bestFit="1" customWidth="1"/>
    <col min="5" max="5" width="15.21875" customWidth="1"/>
    <col min="6" max="12" width="15.88671875" customWidth="1"/>
    <col min="13" max="13" width="14.33203125" bestFit="1" customWidth="1"/>
    <col min="14" max="15" width="15.88671875" customWidth="1"/>
    <col min="16" max="17" width="19.6640625" bestFit="1" customWidth="1"/>
    <col min="18" max="18" width="17.77734375" bestFit="1" customWidth="1"/>
    <col min="20" max="20" width="50.44140625" bestFit="1" customWidth="1"/>
    <col min="21" max="21" width="25.5546875" bestFit="1" customWidth="1"/>
    <col min="22" max="23" width="14.44140625" bestFit="1" customWidth="1"/>
    <col min="24" max="33" width="13.5546875" bestFit="1" customWidth="1"/>
    <col min="34" max="45" width="12" bestFit="1" customWidth="1"/>
  </cols>
  <sheetData>
    <row r="2" spans="1:70" ht="15.75">
      <c r="A2" s="7"/>
      <c r="B2" s="7"/>
      <c r="C2" s="7"/>
      <c r="D2" s="151"/>
      <c r="E2" s="19"/>
      <c r="F2" s="7"/>
      <c r="G2" s="7"/>
      <c r="H2" s="7"/>
      <c r="I2" s="309" t="str">
        <f>'CU AC Rate Design - True-Up'!H1</f>
        <v>Date: May 31, 2018</v>
      </c>
      <c r="J2" s="7"/>
      <c r="K2" s="7"/>
      <c r="L2" s="7"/>
      <c r="O2" s="2"/>
      <c r="R2" s="310" t="str">
        <f>I2</f>
        <v>Date: May 31, 2018</v>
      </c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</row>
    <row r="3" spans="1:7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</row>
    <row r="4" spans="1:70" ht="15" customHeight="1">
      <c r="A4" s="393" t="s">
        <v>321</v>
      </c>
      <c r="B4" s="393"/>
      <c r="C4" s="393"/>
      <c r="D4" s="393"/>
      <c r="E4" s="393"/>
      <c r="F4" s="393"/>
      <c r="G4" s="393"/>
      <c r="H4" s="393"/>
      <c r="I4" s="393"/>
      <c r="J4" s="393" t="s">
        <v>321</v>
      </c>
      <c r="K4" s="393"/>
      <c r="L4" s="393"/>
      <c r="M4" s="393"/>
      <c r="N4" s="393"/>
      <c r="O4" s="393"/>
      <c r="P4" s="393"/>
      <c r="Q4" s="393"/>
      <c r="R4" s="393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</row>
    <row r="5" spans="1:70" ht="15.75">
      <c r="A5" s="394" t="s">
        <v>195</v>
      </c>
      <c r="B5" s="394"/>
      <c r="C5" s="394"/>
      <c r="D5" s="394"/>
      <c r="E5" s="394"/>
      <c r="F5" s="394"/>
      <c r="G5" s="394"/>
      <c r="H5" s="394"/>
      <c r="I5" s="394"/>
      <c r="J5" s="394" t="s">
        <v>195</v>
      </c>
      <c r="K5" s="394"/>
      <c r="L5" s="394"/>
      <c r="M5" s="394"/>
      <c r="N5" s="394"/>
      <c r="O5" s="394"/>
      <c r="P5" s="394"/>
      <c r="Q5" s="394"/>
      <c r="R5" s="394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</row>
    <row r="6" spans="1:70">
      <c r="A6" s="7"/>
      <c r="B6" s="7"/>
      <c r="C6" s="2"/>
      <c r="D6" s="2"/>
      <c r="F6" s="2"/>
      <c r="G6" s="2"/>
      <c r="H6" s="2"/>
      <c r="I6" s="2"/>
      <c r="J6" s="7"/>
      <c r="K6" s="7"/>
      <c r="L6" s="2"/>
      <c r="M6" s="2"/>
      <c r="O6" s="2"/>
      <c r="P6" s="2"/>
      <c r="Q6" s="2"/>
      <c r="R6" s="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</row>
    <row r="7" spans="1:70" ht="15" customHeight="1">
      <c r="A7" s="395" t="s">
        <v>320</v>
      </c>
      <c r="B7" s="395"/>
      <c r="C7" s="395"/>
      <c r="D7" s="395"/>
      <c r="E7" s="395"/>
      <c r="F7" s="395"/>
      <c r="G7" s="395"/>
      <c r="H7" s="395"/>
      <c r="I7" s="395"/>
      <c r="J7" s="395" t="s">
        <v>320</v>
      </c>
      <c r="K7" s="395"/>
      <c r="L7" s="395"/>
      <c r="M7" s="395"/>
      <c r="N7" s="395"/>
      <c r="O7" s="395"/>
      <c r="P7" s="395"/>
      <c r="Q7" s="395"/>
      <c r="R7" s="395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</row>
    <row r="8" spans="1:70">
      <c r="A8" s="12"/>
      <c r="B8" s="7"/>
      <c r="C8" s="2"/>
      <c r="D8" s="2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</row>
    <row r="9" spans="1:70">
      <c r="A9" s="7"/>
      <c r="B9" s="7"/>
      <c r="C9" s="4"/>
      <c r="D9" s="4"/>
      <c r="E9" s="4"/>
      <c r="F9" s="5"/>
      <c r="G9" s="5"/>
      <c r="H9" s="5"/>
      <c r="I9" s="5"/>
      <c r="J9" s="5"/>
      <c r="K9" s="5"/>
      <c r="L9" s="4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</row>
    <row r="10" spans="1:70" ht="15.75">
      <c r="A10" s="7"/>
      <c r="B10" s="7"/>
      <c r="C10" s="3"/>
      <c r="D10" s="10" t="s">
        <v>206</v>
      </c>
      <c r="E10" s="5"/>
      <c r="F10" s="5"/>
      <c r="G10" s="5"/>
      <c r="H10" s="5"/>
      <c r="I10" s="5"/>
      <c r="J10" s="5"/>
      <c r="K10" s="5"/>
      <c r="L10" s="4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</row>
    <row r="11" spans="1:70" ht="15.75">
      <c r="A11" s="12" t="s">
        <v>196</v>
      </c>
      <c r="B11" s="7"/>
      <c r="C11" s="3"/>
      <c r="D11" s="16" t="s">
        <v>208</v>
      </c>
      <c r="E11" s="13" t="s">
        <v>209</v>
      </c>
      <c r="F11" s="17"/>
      <c r="G11" s="17"/>
      <c r="H11" s="17"/>
      <c r="I11" s="17"/>
      <c r="J11" s="17"/>
      <c r="K11" s="17"/>
      <c r="L11" s="4"/>
      <c r="O11" s="152"/>
      <c r="P11" s="152"/>
      <c r="Q11" s="174"/>
      <c r="R11" s="152"/>
      <c r="S11" s="152"/>
      <c r="T11" s="152"/>
      <c r="U11" s="152"/>
      <c r="V11" s="392">
        <v>43069</v>
      </c>
      <c r="W11" s="392"/>
      <c r="X11" s="392">
        <v>43100</v>
      </c>
      <c r="Y11" s="39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</row>
    <row r="12" spans="1:70" ht="16.5" thickBot="1">
      <c r="A12" s="15" t="s">
        <v>197</v>
      </c>
      <c r="B12" s="7"/>
      <c r="C12" s="8" t="s">
        <v>211</v>
      </c>
      <c r="D12" s="5"/>
      <c r="E12" s="6" t="s">
        <v>26</v>
      </c>
      <c r="F12" s="6" t="s">
        <v>27</v>
      </c>
      <c r="G12" s="6" t="s">
        <v>28</v>
      </c>
      <c r="H12" s="6" t="s">
        <v>29</v>
      </c>
      <c r="I12" s="6" t="s">
        <v>30</v>
      </c>
      <c r="J12" s="6" t="s">
        <v>31</v>
      </c>
      <c r="K12" s="6" t="s">
        <v>32</v>
      </c>
      <c r="L12" s="6" t="s">
        <v>33</v>
      </c>
      <c r="M12" s="6" t="s">
        <v>145</v>
      </c>
      <c r="N12" s="6" t="s">
        <v>34</v>
      </c>
      <c r="O12" s="6" t="s">
        <v>35</v>
      </c>
      <c r="P12" s="6" t="s">
        <v>36</v>
      </c>
      <c r="Q12" s="6" t="s">
        <v>37</v>
      </c>
      <c r="R12" s="6" t="s">
        <v>38</v>
      </c>
      <c r="S12" s="152"/>
      <c r="T12" s="152"/>
      <c r="U12" s="152"/>
      <c r="V12" s="391" t="s">
        <v>457</v>
      </c>
      <c r="W12" s="391"/>
      <c r="X12" s="391" t="s">
        <v>457</v>
      </c>
      <c r="Y12" s="391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</row>
    <row r="13" spans="1:70">
      <c r="A13" s="12"/>
      <c r="B13" s="7"/>
      <c r="C13" s="3"/>
      <c r="D13" s="5"/>
      <c r="E13" s="153">
        <v>42705</v>
      </c>
      <c r="F13" s="153">
        <v>42736</v>
      </c>
      <c r="G13" s="153">
        <v>42767</v>
      </c>
      <c r="H13" s="153">
        <v>42795</v>
      </c>
      <c r="I13" s="153">
        <v>42826</v>
      </c>
      <c r="J13" s="153">
        <v>42856</v>
      </c>
      <c r="K13" s="153">
        <v>42887</v>
      </c>
      <c r="L13" s="153">
        <v>42917</v>
      </c>
      <c r="M13" s="153">
        <v>42948</v>
      </c>
      <c r="N13" s="153">
        <v>42979</v>
      </c>
      <c r="O13" s="153">
        <v>43009</v>
      </c>
      <c r="P13" s="153">
        <v>43040</v>
      </c>
      <c r="Q13" s="153">
        <v>43070</v>
      </c>
      <c r="R13" s="88" t="s">
        <v>25</v>
      </c>
      <c r="S13" s="152"/>
      <c r="T13" s="152"/>
      <c r="U13" s="152"/>
      <c r="V13" t="s">
        <v>253</v>
      </c>
      <c r="W13" s="328" t="s">
        <v>462</v>
      </c>
      <c r="X13" t="s">
        <v>253</v>
      </c>
      <c r="Y13" s="328" t="s">
        <v>462</v>
      </c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</row>
    <row r="14" spans="1:70">
      <c r="A14" s="12"/>
      <c r="B14" s="7"/>
      <c r="C14" s="3" t="s">
        <v>41</v>
      </c>
      <c r="D14" s="5" t="s">
        <v>413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S14" s="5"/>
      <c r="U14" s="5" t="s">
        <v>458</v>
      </c>
      <c r="V14">
        <v>5147674.8499999996</v>
      </c>
      <c r="W14">
        <v>0</v>
      </c>
      <c r="X14">
        <v>5147674.8499999996</v>
      </c>
      <c r="Y14">
        <v>0</v>
      </c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</row>
    <row r="15" spans="1:70">
      <c r="A15" s="12">
        <v>1</v>
      </c>
      <c r="B15" s="7"/>
      <c r="C15" s="3" t="s">
        <v>213</v>
      </c>
      <c r="D15" s="5" t="s">
        <v>73</v>
      </c>
      <c r="E15" s="100">
        <v>580371825.39999998</v>
      </c>
      <c r="F15" s="100">
        <v>580971089.06000006</v>
      </c>
      <c r="G15" s="100">
        <v>582689799.5</v>
      </c>
      <c r="H15" s="100">
        <v>582198437.33000004</v>
      </c>
      <c r="I15" s="100">
        <v>582100135.63</v>
      </c>
      <c r="J15" s="100">
        <v>586944821.49000001</v>
      </c>
      <c r="K15" s="100">
        <v>591382506.36000013</v>
      </c>
      <c r="L15" s="100">
        <v>591877312.13</v>
      </c>
      <c r="M15" s="100">
        <v>592661979.5</v>
      </c>
      <c r="N15" s="100">
        <v>592647379.03999996</v>
      </c>
      <c r="O15" s="100">
        <v>593489463.6400001</v>
      </c>
      <c r="P15" s="100">
        <v>592091475.69000006</v>
      </c>
      <c r="Q15" s="100">
        <v>590861691.46000004</v>
      </c>
      <c r="R15" s="100">
        <f t="shared" ref="R15:R21" si="0">AVERAGE(E15:Q15)</f>
        <v>587714455.09461546</v>
      </c>
      <c r="S15" s="5"/>
      <c r="U15" s="7" t="s">
        <v>459</v>
      </c>
      <c r="V15">
        <v>61518404.420000002</v>
      </c>
      <c r="W15">
        <v>42806.35</v>
      </c>
      <c r="X15">
        <v>65726041.68</v>
      </c>
      <c r="Y15">
        <v>157032</v>
      </c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</row>
    <row r="16" spans="1:70">
      <c r="A16" s="12">
        <f t="shared" ref="A16:A65" si="1">+A15+1</f>
        <v>2</v>
      </c>
      <c r="B16" s="7"/>
      <c r="C16" s="3" t="s">
        <v>215</v>
      </c>
      <c r="D16" s="5" t="s">
        <v>120</v>
      </c>
      <c r="E16" s="100">
        <v>147397689.00999999</v>
      </c>
      <c r="F16" s="100">
        <f>147608134.61+V30</f>
        <v>148311086.17000002</v>
      </c>
      <c r="G16" s="100">
        <f>146797189.71+W30</f>
        <v>147483671.59999999</v>
      </c>
      <c r="H16" s="100">
        <f>146535297.26+X30</f>
        <v>147222510.54999998</v>
      </c>
      <c r="I16" s="100">
        <f>146546031.34+Y30</f>
        <v>147232810.21000001</v>
      </c>
      <c r="J16" s="100">
        <f>181671149.5+Z30</f>
        <v>182358105.28</v>
      </c>
      <c r="K16" s="100">
        <f>182647729.34+AA30</f>
        <v>183334685.12</v>
      </c>
      <c r="L16" s="100">
        <f>182871459.01+AB30</f>
        <v>183558414.78999999</v>
      </c>
      <c r="M16" s="100">
        <f>183095860.25+AC30</f>
        <v>183782816.03</v>
      </c>
      <c r="N16" s="100">
        <f>183448707.94-AD27+AD30</f>
        <v>184134531.13999999</v>
      </c>
      <c r="O16" s="100">
        <f>183631399.24-AE27+AE30</f>
        <v>184317222.44</v>
      </c>
      <c r="P16" s="100">
        <f>183958834.11-AF27+AF30</f>
        <v>184644657.31</v>
      </c>
      <c r="Q16" s="100">
        <f>185790444.21-AG27+AG30</f>
        <v>184727231.41</v>
      </c>
      <c r="R16" s="100">
        <f t="shared" si="0"/>
        <v>169885033.15846154</v>
      </c>
      <c r="S16" s="5"/>
      <c r="U16" s="7" t="s">
        <v>460</v>
      </c>
      <c r="V16">
        <v>3355.14</v>
      </c>
      <c r="W16">
        <v>285.32</v>
      </c>
      <c r="X16">
        <v>17106.16</v>
      </c>
      <c r="Y16">
        <v>1581.49</v>
      </c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</row>
    <row r="17" spans="1:70">
      <c r="A17" s="12">
        <f t="shared" si="1"/>
        <v>3</v>
      </c>
      <c r="B17" s="7"/>
      <c r="C17" s="3" t="s">
        <v>216</v>
      </c>
      <c r="D17" s="5" t="s">
        <v>121</v>
      </c>
      <c r="E17" s="100">
        <v>364302868.34000015</v>
      </c>
      <c r="F17" s="100">
        <f>364728813.49-V30</f>
        <v>364025861.93000001</v>
      </c>
      <c r="G17" s="100">
        <f>364925669.59-W30</f>
        <v>364239187.69999999</v>
      </c>
      <c r="H17" s="100">
        <f>365425740.85-X30</f>
        <v>364738527.56</v>
      </c>
      <c r="I17" s="100">
        <f>365990568.49-Y30</f>
        <v>365303789.62</v>
      </c>
      <c r="J17" s="100">
        <f>366576263.06-Z30</f>
        <v>365889307.28000003</v>
      </c>
      <c r="K17" s="100">
        <f>366947152.71-AA30</f>
        <v>366260196.93000001</v>
      </c>
      <c r="L17" s="100">
        <f>367476710.79-AB30</f>
        <v>366789755.01000005</v>
      </c>
      <c r="M17" s="100">
        <f>368892386.51-AC30</f>
        <v>368205430.73000002</v>
      </c>
      <c r="N17" s="100">
        <f>369463883.64+AD27-AD30</f>
        <v>368778060.44</v>
      </c>
      <c r="O17" s="100">
        <f>372244882.89+AE27-AE30</f>
        <v>371559059.69</v>
      </c>
      <c r="P17" s="100">
        <f>373422326.09+AF27-AF30</f>
        <v>372736502.88999999</v>
      </c>
      <c r="Q17" s="100">
        <f>375214228.31+AG27-AG30</f>
        <v>376277441.11000001</v>
      </c>
      <c r="R17" s="100">
        <f t="shared" si="0"/>
        <v>367623537.63307697</v>
      </c>
      <c r="S17" s="5"/>
      <c r="U17" s="7" t="s">
        <v>461</v>
      </c>
      <c r="V17">
        <v>3355.14</v>
      </c>
      <c r="W17">
        <v>163.03</v>
      </c>
      <c r="X17">
        <v>17106.169999999998</v>
      </c>
      <c r="Y17">
        <v>918.2</v>
      </c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</row>
    <row r="18" spans="1:70">
      <c r="A18" s="12">
        <f t="shared" si="1"/>
        <v>4</v>
      </c>
      <c r="B18" s="7"/>
      <c r="C18" s="3" t="s">
        <v>217</v>
      </c>
      <c r="D18" s="5" t="s">
        <v>408</v>
      </c>
      <c r="E18" s="100">
        <f>56731616.28-E20-V14</f>
        <v>44336918.479999997</v>
      </c>
      <c r="F18" s="100">
        <f>56701551.37-F20-24848.41-V14</f>
        <v>44283010.890000001</v>
      </c>
      <c r="G18" s="100">
        <f>56748594.42-X14-G20</f>
        <v>44354902.350000001</v>
      </c>
      <c r="H18" s="100">
        <f>56898448.44-X14-H20</f>
        <v>44456651.879999995</v>
      </c>
      <c r="I18" s="100">
        <f>56665973.4-X14-I20</f>
        <v>44224254.929999992</v>
      </c>
      <c r="J18" s="100">
        <f>55790301.18-X14-J20</f>
        <v>43395041.170000002</v>
      </c>
      <c r="K18" s="100">
        <f>55699777.23-X14-K20</f>
        <v>43319462.559999995</v>
      </c>
      <c r="L18" s="100">
        <f>55625444.03-X14-L20</f>
        <v>43245129.359999999</v>
      </c>
      <c r="M18" s="100">
        <f>55598162.83-X14-M20</f>
        <v>43217848.159999996</v>
      </c>
      <c r="N18" s="100">
        <f>55578626.53-X14-N20</f>
        <v>43198311.859999999</v>
      </c>
      <c r="O18" s="100">
        <f>56145700-X14-O20</f>
        <v>43765385.329999998</v>
      </c>
      <c r="P18" s="100">
        <f>120012976.55-V14-V15-V16-V17-P20</f>
        <v>46081022.689999998</v>
      </c>
      <c r="Q18" s="100">
        <f>122108562.9-X14-X15-X16-X17-Q20</f>
        <v>44141667.160000011</v>
      </c>
      <c r="R18" s="100">
        <f t="shared" si="0"/>
        <v>44001508.216923073</v>
      </c>
      <c r="S18" s="5"/>
      <c r="T18" s="7"/>
      <c r="U18" s="7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</row>
    <row r="19" spans="1:70">
      <c r="A19" s="12">
        <f t="shared" si="1"/>
        <v>5</v>
      </c>
      <c r="B19" s="7"/>
      <c r="C19" s="3" t="s">
        <v>137</v>
      </c>
      <c r="D19" s="5" t="s">
        <v>446</v>
      </c>
      <c r="E19" s="100">
        <v>30986121.08553303</v>
      </c>
      <c r="F19" s="100">
        <v>27670750.625533029</v>
      </c>
      <c r="G19" s="100">
        <v>29102422.185533032</v>
      </c>
      <c r="H19" s="100">
        <v>28764774.24582703</v>
      </c>
      <c r="I19" s="100">
        <v>29205713.959177032</v>
      </c>
      <c r="J19" s="100">
        <v>29192783.429177031</v>
      </c>
      <c r="K19" s="100">
        <v>29147223.189177029</v>
      </c>
      <c r="L19" s="100">
        <v>29416063.639177028</v>
      </c>
      <c r="M19" s="100">
        <v>29237310.019177027</v>
      </c>
      <c r="N19" s="100">
        <v>29143622.597177029</v>
      </c>
      <c r="O19" s="100">
        <v>29356399.504621029</v>
      </c>
      <c r="P19" s="100">
        <v>30678441.734621026</v>
      </c>
      <c r="Q19" s="100">
        <v>31025879.084621027</v>
      </c>
      <c r="R19" s="100">
        <f>AVERAGE(E19:Q19)</f>
        <v>29455961.946103953</v>
      </c>
      <c r="S19" s="5"/>
      <c r="T19" s="7"/>
      <c r="U19" s="7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</row>
    <row r="20" spans="1:70">
      <c r="A20" s="12">
        <f t="shared" si="1"/>
        <v>6</v>
      </c>
      <c r="B20" s="7"/>
      <c r="C20" s="3" t="s">
        <v>102</v>
      </c>
      <c r="D20" s="5" t="s">
        <v>101</v>
      </c>
      <c r="E20" s="100">
        <v>7247022.9500000002</v>
      </c>
      <c r="F20" s="100">
        <v>7246017.2200000007</v>
      </c>
      <c r="G20" s="100">
        <v>7246017.2200000007</v>
      </c>
      <c r="H20" s="100">
        <v>7294121.7100000009</v>
      </c>
      <c r="I20" s="100">
        <v>7294043.620000001</v>
      </c>
      <c r="J20" s="100">
        <v>7247585.1600000001</v>
      </c>
      <c r="K20" s="100">
        <v>7232639.8200000003</v>
      </c>
      <c r="L20" s="100">
        <v>7232639.8200000003</v>
      </c>
      <c r="M20" s="100">
        <v>7232639.8200000003</v>
      </c>
      <c r="N20" s="100">
        <v>7232639.8200000003</v>
      </c>
      <c r="O20" s="100">
        <v>7232639.8200000003</v>
      </c>
      <c r="P20" s="100">
        <v>7259164.3100000005</v>
      </c>
      <c r="Q20" s="100">
        <v>7058966.8799999999</v>
      </c>
      <c r="R20" s="100">
        <f t="shared" si="0"/>
        <v>7235087.5515384609</v>
      </c>
      <c r="S20" s="5"/>
      <c r="T20" s="350" t="s">
        <v>463</v>
      </c>
      <c r="U20" s="350"/>
      <c r="V20" s="351">
        <v>42736</v>
      </c>
      <c r="W20" s="351">
        <v>42767</v>
      </c>
      <c r="X20" s="351">
        <v>42795</v>
      </c>
      <c r="Y20" s="351">
        <v>42826</v>
      </c>
      <c r="Z20" s="351">
        <v>42856</v>
      </c>
      <c r="AA20" s="351">
        <v>42887</v>
      </c>
      <c r="AB20" s="351">
        <v>42917</v>
      </c>
      <c r="AC20" s="351">
        <v>42948</v>
      </c>
      <c r="AD20" s="351">
        <v>42979</v>
      </c>
      <c r="AE20" s="351">
        <v>43009</v>
      </c>
      <c r="AF20" s="351">
        <v>43040</v>
      </c>
      <c r="AG20" s="351">
        <v>43070</v>
      </c>
      <c r="AH20" s="351">
        <v>42736</v>
      </c>
      <c r="AI20" s="351">
        <v>42767</v>
      </c>
      <c r="AJ20" s="351">
        <v>42795</v>
      </c>
      <c r="AK20" s="351">
        <v>42826</v>
      </c>
      <c r="AL20" s="351">
        <v>42856</v>
      </c>
      <c r="AM20" s="351">
        <v>42887</v>
      </c>
      <c r="AN20" s="351">
        <v>42917</v>
      </c>
      <c r="AO20" s="351">
        <v>42948</v>
      </c>
      <c r="AP20" s="351">
        <v>42979</v>
      </c>
      <c r="AQ20" s="351">
        <v>43009</v>
      </c>
      <c r="AR20" s="351">
        <v>43040</v>
      </c>
      <c r="AS20" s="351">
        <v>43070</v>
      </c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</row>
    <row r="21" spans="1:70">
      <c r="A21" s="12">
        <f t="shared" si="1"/>
        <v>7</v>
      </c>
      <c r="B21" s="7"/>
      <c r="C21" s="3" t="s">
        <v>219</v>
      </c>
      <c r="D21" s="5" t="s">
        <v>220</v>
      </c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>
        <v>0</v>
      </c>
      <c r="R21" s="100">
        <f t="shared" si="0"/>
        <v>0</v>
      </c>
      <c r="S21" s="5"/>
      <c r="T21" s="352" t="s">
        <v>464</v>
      </c>
      <c r="U21" s="352" t="s">
        <v>475</v>
      </c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3"/>
      <c r="AM21" s="353"/>
      <c r="AN21" s="353"/>
      <c r="AO21" s="353"/>
      <c r="AP21" s="353"/>
      <c r="AQ21" s="353"/>
      <c r="AR21" s="353"/>
      <c r="AS21" s="353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</row>
    <row r="22" spans="1:70" ht="15.75">
      <c r="A22" s="12">
        <f t="shared" si="1"/>
        <v>8</v>
      </c>
      <c r="B22" s="7"/>
      <c r="C22" s="11" t="s">
        <v>5</v>
      </c>
      <c r="D22" s="5" t="str">
        <f>"(sum lines "&amp;A15&amp;" - "&amp;A21&amp;")"</f>
        <v>(sum lines 1 - 7)</v>
      </c>
      <c r="E22" s="154">
        <f>SUM(E15:E21)</f>
        <v>1174642445.2655332</v>
      </c>
      <c r="F22" s="154">
        <f>SUM(F15:F21)</f>
        <v>1172507815.8955333</v>
      </c>
      <c r="G22" s="154">
        <f t="shared" ref="G22:R22" si="2">SUM(G15:G21)</f>
        <v>1175116000.5555329</v>
      </c>
      <c r="H22" s="154">
        <f t="shared" si="2"/>
        <v>1174675023.2758272</v>
      </c>
      <c r="I22" s="154">
        <f t="shared" si="2"/>
        <v>1175360747.969177</v>
      </c>
      <c r="J22" s="154">
        <f t="shared" si="2"/>
        <v>1215027643.8091772</v>
      </c>
      <c r="K22" s="154">
        <f t="shared" si="2"/>
        <v>1220676713.979177</v>
      </c>
      <c r="L22" s="154">
        <f t="shared" si="2"/>
        <v>1222119314.749177</v>
      </c>
      <c r="M22" s="154">
        <f t="shared" si="2"/>
        <v>1224338024.259177</v>
      </c>
      <c r="N22" s="154">
        <f t="shared" si="2"/>
        <v>1225134544.8971767</v>
      </c>
      <c r="O22" s="154">
        <f t="shared" si="2"/>
        <v>1229720170.4246211</v>
      </c>
      <c r="P22" s="154">
        <f t="shared" si="2"/>
        <v>1233491264.6246209</v>
      </c>
      <c r="Q22" s="154">
        <f t="shared" si="2"/>
        <v>1234092877.1046212</v>
      </c>
      <c r="R22" s="154">
        <f t="shared" si="2"/>
        <v>1205915583.6007195</v>
      </c>
      <c r="S22" s="5"/>
      <c r="T22" s="366" t="s">
        <v>465</v>
      </c>
      <c r="U22" s="367">
        <v>368</v>
      </c>
      <c r="V22" s="368"/>
      <c r="W22" s="368"/>
      <c r="X22" s="368"/>
      <c r="Y22" s="368"/>
      <c r="Z22" s="368"/>
      <c r="AA22" s="368"/>
      <c r="AB22" s="368"/>
      <c r="AC22" s="368"/>
      <c r="AD22" s="368">
        <v>1132.58</v>
      </c>
      <c r="AE22" s="368">
        <v>1132.58</v>
      </c>
      <c r="AF22" s="368">
        <v>1132.58</v>
      </c>
      <c r="AG22" s="368">
        <v>1132.58</v>
      </c>
      <c r="AH22" s="368"/>
      <c r="AI22" s="368"/>
      <c r="AJ22" s="368"/>
      <c r="AK22" s="368"/>
      <c r="AL22" s="368"/>
      <c r="AM22" s="368"/>
      <c r="AN22" s="368"/>
      <c r="AO22" s="368"/>
      <c r="AP22" s="368">
        <v>11.0081905906</v>
      </c>
      <c r="AQ22" s="368">
        <v>12.218556185000001</v>
      </c>
      <c r="AR22" s="368">
        <v>13.426486732400001</v>
      </c>
      <c r="AS22" s="368">
        <v>14.612116779600001</v>
      </c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</row>
    <row r="23" spans="1:70" ht="15.75">
      <c r="A23" s="12">
        <f t="shared" si="1"/>
        <v>9</v>
      </c>
      <c r="B23" s="7"/>
      <c r="C23" s="3"/>
      <c r="D23" s="5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5"/>
      <c r="T23" s="366" t="s">
        <v>467</v>
      </c>
      <c r="U23" s="367">
        <v>362</v>
      </c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>
        <v>1583406.4</v>
      </c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>
        <v>20428.507678368002</v>
      </c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</row>
    <row r="24" spans="1:70" ht="15.75">
      <c r="A24" s="12">
        <f t="shared" si="1"/>
        <v>10</v>
      </c>
      <c r="B24" s="7"/>
      <c r="C24" s="3" t="s">
        <v>42</v>
      </c>
      <c r="D24" s="5" t="s">
        <v>413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5"/>
      <c r="T24" s="366" t="s">
        <v>468</v>
      </c>
      <c r="U24" s="367">
        <v>362</v>
      </c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68"/>
      <c r="AG24" s="368">
        <v>7268.58</v>
      </c>
      <c r="AH24" s="368"/>
      <c r="AI24" s="368"/>
      <c r="AJ24" s="368"/>
      <c r="AK24" s="368"/>
      <c r="AL24" s="368"/>
      <c r="AM24" s="368"/>
      <c r="AN24" s="368"/>
      <c r="AO24" s="368"/>
      <c r="AP24" s="368"/>
      <c r="AQ24" s="368"/>
      <c r="AR24" s="368"/>
      <c r="AS24" s="368">
        <v>93.776457099599995</v>
      </c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</row>
    <row r="25" spans="1:70" ht="15.75">
      <c r="A25" s="12">
        <f t="shared" si="1"/>
        <v>11</v>
      </c>
      <c r="B25" s="7"/>
      <c r="C25" s="3" t="str">
        <f>+C15</f>
        <v xml:space="preserve">  Production</v>
      </c>
      <c r="D25" s="5" t="s">
        <v>409</v>
      </c>
      <c r="E25" s="100">
        <v>179595430.06767491</v>
      </c>
      <c r="F25" s="100">
        <v>179707795.4200041</v>
      </c>
      <c r="G25" s="100">
        <v>180991592.02204376</v>
      </c>
      <c r="H25" s="100">
        <v>181492680.64350995</v>
      </c>
      <c r="I25" s="100">
        <v>182636233.28592739</v>
      </c>
      <c r="J25" s="100">
        <v>183863297.50153357</v>
      </c>
      <c r="K25" s="100">
        <v>185170831.66958767</v>
      </c>
      <c r="L25" s="100">
        <v>186508967.82839173</v>
      </c>
      <c r="M25" s="100">
        <v>187925140.06154537</v>
      </c>
      <c r="N25" s="100">
        <v>189103071.99770027</v>
      </c>
      <c r="O25" s="100">
        <v>190485204.445871</v>
      </c>
      <c r="P25" s="100">
        <v>190680045.3787823</v>
      </c>
      <c r="Q25" s="100">
        <v>190308275.31008568</v>
      </c>
      <c r="R25" s="100">
        <f t="shared" ref="R25:R31" si="3">AVERAGE(E25:Q25)</f>
        <v>185266812.74097365</v>
      </c>
      <c r="S25" s="5"/>
      <c r="T25" s="366" t="s">
        <v>469</v>
      </c>
      <c r="U25" s="367">
        <v>362</v>
      </c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>
        <v>150416.21</v>
      </c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368"/>
      <c r="AS25" s="368">
        <v>1940.6127832602001</v>
      </c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</row>
    <row r="26" spans="1:70" ht="15.75">
      <c r="A26" s="12">
        <f t="shared" si="1"/>
        <v>12</v>
      </c>
      <c r="B26" s="7"/>
      <c r="C26" s="3" t="s">
        <v>215</v>
      </c>
      <c r="D26" s="5" t="s">
        <v>122</v>
      </c>
      <c r="E26" s="100">
        <f>E71</f>
        <v>41312427.448447026</v>
      </c>
      <c r="F26" s="100">
        <f t="shared" ref="F26:Q26" si="4">F71</f>
        <v>41601699.217646934</v>
      </c>
      <c r="G26" s="100">
        <f t="shared" si="4"/>
        <v>41866547.184040815</v>
      </c>
      <c r="H26" s="100">
        <f t="shared" si="4"/>
        <v>42131123.980602697</v>
      </c>
      <c r="I26" s="100">
        <f t="shared" si="4"/>
        <v>42397740.339443862</v>
      </c>
      <c r="J26" s="100">
        <f t="shared" si="4"/>
        <v>42696241.125542074</v>
      </c>
      <c r="K26" s="100">
        <f t="shared" si="4"/>
        <v>43032052.757911608</v>
      </c>
      <c r="L26" s="100">
        <f t="shared" si="4"/>
        <v>43363877.594265126</v>
      </c>
      <c r="M26" s="100">
        <f t="shared" si="4"/>
        <v>43709551.834172919</v>
      </c>
      <c r="N26" s="100">
        <f t="shared" si="4"/>
        <v>44043625.422661811</v>
      </c>
      <c r="O26" s="100">
        <f t="shared" si="4"/>
        <v>44381946.661077812</v>
      </c>
      <c r="P26" s="100">
        <f t="shared" si="4"/>
        <v>44679621.124196656</v>
      </c>
      <c r="Q26" s="100">
        <f t="shared" si="4"/>
        <v>45038240.333452828</v>
      </c>
      <c r="R26" s="100">
        <f t="shared" si="3"/>
        <v>43096515.001804784</v>
      </c>
      <c r="S26" s="5"/>
      <c r="T26" s="366" t="s">
        <v>470</v>
      </c>
      <c r="U26" s="367">
        <v>362</v>
      </c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>
        <v>7944.81</v>
      </c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  <c r="AS26" s="368">
        <v>102.50091959220001</v>
      </c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</row>
    <row r="27" spans="1:70" ht="15.75">
      <c r="A27" s="12">
        <f t="shared" si="1"/>
        <v>13</v>
      </c>
      <c r="B27" s="7"/>
      <c r="C27" s="3" t="s">
        <v>216</v>
      </c>
      <c r="D27" s="5" t="s">
        <v>123</v>
      </c>
      <c r="E27" s="100">
        <v>126243153.67837404</v>
      </c>
      <c r="F27" s="100">
        <f>126960063.689971-AH30</f>
        <v>126950510.24788336</v>
      </c>
      <c r="G27" s="100">
        <f>127657388.862406-AI30</f>
        <v>127646726.63163508</v>
      </c>
      <c r="H27" s="100">
        <f>128288093.457232-AJ30</f>
        <v>128276085.7313109</v>
      </c>
      <c r="I27" s="100">
        <f>128956505.227071-AK30</f>
        <v>128943172.03341094</v>
      </c>
      <c r="J27" s="100">
        <f>129603514.452789-AL30</f>
        <v>129588844.62202002</v>
      </c>
      <c r="K27" s="100">
        <f>130247929.483459-AM30</f>
        <v>130231926.31273839</v>
      </c>
      <c r="L27" s="100">
        <f>130867533.745201-AN30</f>
        <v>130850197.33070257</v>
      </c>
      <c r="M27" s="100">
        <f>131583210.591191-AO30</f>
        <v>131564540.82987137</v>
      </c>
      <c r="N27" s="100">
        <f>132252866.786456+AP27-AP30</f>
        <v>132232874.83076648</v>
      </c>
      <c r="O27" s="100">
        <f>132677199.337446+AQ27-AQ30</f>
        <v>132656017.24593018</v>
      </c>
      <c r="P27" s="100">
        <f>133060257.440886+AR27-AR30</f>
        <v>133037785.40330355</v>
      </c>
      <c r="Q27" s="100">
        <f>133806126.460208+AS27-AS30</f>
        <v>133804900.12065056</v>
      </c>
      <c r="R27" s="100">
        <f>AVERAGE(E27:Q27)</f>
        <v>130155902.69373825</v>
      </c>
      <c r="S27" s="5"/>
      <c r="T27" s="366" t="s">
        <v>473</v>
      </c>
      <c r="U27" s="367"/>
      <c r="V27" s="306">
        <f>SUM(V22:V26)</f>
        <v>0</v>
      </c>
      <c r="W27" s="306">
        <f t="shared" ref="W27:AS27" si="5">SUM(W22:W26)</f>
        <v>0</v>
      </c>
      <c r="X27" s="306">
        <f t="shared" si="5"/>
        <v>0</v>
      </c>
      <c r="Y27" s="306">
        <f t="shared" si="5"/>
        <v>0</v>
      </c>
      <c r="Z27" s="306">
        <f t="shared" si="5"/>
        <v>0</v>
      </c>
      <c r="AA27" s="306">
        <f t="shared" si="5"/>
        <v>0</v>
      </c>
      <c r="AB27" s="306">
        <f t="shared" si="5"/>
        <v>0</v>
      </c>
      <c r="AC27" s="306">
        <f t="shared" si="5"/>
        <v>0</v>
      </c>
      <c r="AD27" s="306">
        <f t="shared" si="5"/>
        <v>1132.58</v>
      </c>
      <c r="AE27" s="306">
        <f t="shared" si="5"/>
        <v>1132.58</v>
      </c>
      <c r="AF27" s="306">
        <f t="shared" si="5"/>
        <v>1132.58</v>
      </c>
      <c r="AG27" s="306">
        <f t="shared" si="5"/>
        <v>1750168.58</v>
      </c>
      <c r="AH27" s="306">
        <f t="shared" si="5"/>
        <v>0</v>
      </c>
      <c r="AI27" s="306">
        <f t="shared" si="5"/>
        <v>0</v>
      </c>
      <c r="AJ27" s="306">
        <f t="shared" si="5"/>
        <v>0</v>
      </c>
      <c r="AK27" s="306">
        <f t="shared" si="5"/>
        <v>0</v>
      </c>
      <c r="AL27" s="306">
        <f t="shared" si="5"/>
        <v>0</v>
      </c>
      <c r="AM27" s="306">
        <f t="shared" si="5"/>
        <v>0</v>
      </c>
      <c r="AN27" s="306">
        <f t="shared" si="5"/>
        <v>0</v>
      </c>
      <c r="AO27" s="306">
        <f t="shared" si="5"/>
        <v>0</v>
      </c>
      <c r="AP27" s="306">
        <f t="shared" si="5"/>
        <v>11.0081905906</v>
      </c>
      <c r="AQ27" s="306">
        <f t="shared" si="5"/>
        <v>12.218556185000001</v>
      </c>
      <c r="AR27" s="306">
        <f t="shared" si="5"/>
        <v>13.426486732400001</v>
      </c>
      <c r="AS27" s="306">
        <f t="shared" si="5"/>
        <v>22580.009955099602</v>
      </c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</row>
    <row r="28" spans="1:70" ht="15.75">
      <c r="A28" s="12">
        <f t="shared" si="1"/>
        <v>14</v>
      </c>
      <c r="B28" s="7"/>
      <c r="C28" s="3" t="str">
        <f>+C18</f>
        <v xml:space="preserve">  General &amp; Intangible</v>
      </c>
      <c r="D28" s="5" t="s">
        <v>447</v>
      </c>
      <c r="E28" s="100">
        <f>E75</f>
        <v>23394769.655532833</v>
      </c>
      <c r="F28" s="100">
        <f t="shared" ref="F28:Q28" si="6">F75</f>
        <v>23608496.18213588</v>
      </c>
      <c r="G28" s="100">
        <f t="shared" si="6"/>
        <v>23816228.572104633</v>
      </c>
      <c r="H28" s="100">
        <f t="shared" si="6"/>
        <v>24025126.660836931</v>
      </c>
      <c r="I28" s="100">
        <f t="shared" si="6"/>
        <v>24196230.14041958</v>
      </c>
      <c r="J28" s="100">
        <f t="shared" si="6"/>
        <v>23648417.555898998</v>
      </c>
      <c r="K28" s="100">
        <f t="shared" si="6"/>
        <v>23705099.143587265</v>
      </c>
      <c r="L28" s="100">
        <f t="shared" si="6"/>
        <v>23845312.050674863</v>
      </c>
      <c r="M28" s="100">
        <f t="shared" si="6"/>
        <v>24001696.7389962</v>
      </c>
      <c r="N28" s="100">
        <f t="shared" si="6"/>
        <v>24179936.503057931</v>
      </c>
      <c r="O28" s="100">
        <f t="shared" si="6"/>
        <v>24378079.447413117</v>
      </c>
      <c r="P28" s="100">
        <f t="shared" si="6"/>
        <v>24557637.004656795</v>
      </c>
      <c r="Q28" s="100">
        <f t="shared" si="6"/>
        <v>24493448.308550067</v>
      </c>
      <c r="R28" s="100">
        <f t="shared" si="3"/>
        <v>23988498.304912701</v>
      </c>
      <c r="S28" s="5"/>
      <c r="T28" s="366" t="s">
        <v>471</v>
      </c>
      <c r="U28" s="367">
        <v>355</v>
      </c>
      <c r="V28" s="368">
        <v>1126939.05</v>
      </c>
      <c r="W28" s="368">
        <v>1132462.72</v>
      </c>
      <c r="X28" s="368">
        <v>1131114.19</v>
      </c>
      <c r="Y28" s="368">
        <v>1131114.19</v>
      </c>
      <c r="Z28" s="368">
        <v>1131258.3</v>
      </c>
      <c r="AA28" s="368">
        <v>1132873.98</v>
      </c>
      <c r="AB28" s="368">
        <v>1131258.3</v>
      </c>
      <c r="AC28" s="368">
        <v>1132221.46</v>
      </c>
      <c r="AD28" s="368">
        <v>1132221.46</v>
      </c>
      <c r="AE28" s="368">
        <v>1132221.46</v>
      </c>
      <c r="AF28" s="368">
        <v>1132221.46</v>
      </c>
      <c r="AG28" s="368">
        <v>1132221.46</v>
      </c>
      <c r="AH28" s="368">
        <v>17182.169229978001</v>
      </c>
      <c r="AI28" s="368">
        <v>19712.563399123199</v>
      </c>
      <c r="AJ28" s="368">
        <v>22125.566314603398</v>
      </c>
      <c r="AK28" s="368">
        <v>24557.269533691098</v>
      </c>
      <c r="AL28" s="368">
        <v>26987.671320039</v>
      </c>
      <c r="AM28" s="368">
        <v>29452.140527325599</v>
      </c>
      <c r="AN28" s="368">
        <v>31828.17852216</v>
      </c>
      <c r="AO28" s="368">
        <v>34270.690550868399</v>
      </c>
      <c r="AP28" s="368">
        <v>36681.529705646397</v>
      </c>
      <c r="AQ28" s="368">
        <v>39087.285186068999</v>
      </c>
      <c r="AR28" s="368">
        <v>41487.1531148996</v>
      </c>
      <c r="AS28" s="368">
        <v>43822.382520578802</v>
      </c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</row>
    <row r="29" spans="1:70">
      <c r="A29" s="12">
        <f t="shared" si="1"/>
        <v>15</v>
      </c>
      <c r="B29" s="7"/>
      <c r="C29" s="3" t="s">
        <v>137</v>
      </c>
      <c r="D29" s="5" t="s">
        <v>448</v>
      </c>
      <c r="E29" s="100">
        <v>15461419.342293501</v>
      </c>
      <c r="F29" s="100">
        <v>12888361.724243335</v>
      </c>
      <c r="G29" s="100">
        <v>13596988.209418368</v>
      </c>
      <c r="H29" s="100">
        <v>13680424.5045934</v>
      </c>
      <c r="I29" s="100">
        <v>14224124.599768436</v>
      </c>
      <c r="J29" s="100">
        <v>14351472.784943469</v>
      </c>
      <c r="K29" s="100">
        <v>14486059.710118502</v>
      </c>
      <c r="L29" s="100">
        <v>14672060.055293534</v>
      </c>
      <c r="M29" s="100">
        <v>14825063.750468569</v>
      </c>
      <c r="N29" s="100">
        <v>14700755.247643603</v>
      </c>
      <c r="O29" s="100">
        <v>14811316.360818634</v>
      </c>
      <c r="P29" s="100">
        <v>15532675.43599367</v>
      </c>
      <c r="Q29" s="100">
        <v>15460881.681168701</v>
      </c>
      <c r="R29" s="100">
        <f t="shared" si="3"/>
        <v>14514738.723597361</v>
      </c>
      <c r="S29" s="5"/>
      <c r="T29" s="369" t="s">
        <v>472</v>
      </c>
      <c r="U29" s="370"/>
      <c r="V29" s="371"/>
      <c r="W29" s="371"/>
      <c r="X29" s="371"/>
      <c r="Y29" s="371"/>
      <c r="Z29" s="371"/>
      <c r="AA29" s="371"/>
      <c r="AB29" s="371"/>
      <c r="AC29" s="371"/>
      <c r="AD29" s="371"/>
      <c r="AE29" s="371"/>
      <c r="AF29" s="371"/>
      <c r="AG29" s="371"/>
      <c r="AH29" s="371"/>
      <c r="AI29" s="371"/>
      <c r="AJ29" s="371"/>
      <c r="AK29" s="371"/>
      <c r="AL29" s="371"/>
      <c r="AM29" s="371"/>
      <c r="AN29" s="371"/>
      <c r="AO29" s="371"/>
      <c r="AP29" s="371"/>
      <c r="AQ29" s="371"/>
      <c r="AR29" s="371"/>
      <c r="AS29" s="371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</row>
    <row r="30" spans="1:70" ht="15.75">
      <c r="A30" s="12">
        <f t="shared" si="1"/>
        <v>16</v>
      </c>
      <c r="B30" s="7"/>
      <c r="C30" s="3" t="str">
        <f>+C20</f>
        <v xml:space="preserve">  Communication System</v>
      </c>
      <c r="D30" s="5" t="s">
        <v>449</v>
      </c>
      <c r="E30" s="100">
        <f>E79</f>
        <v>3375312.2462161668</v>
      </c>
      <c r="F30" s="100">
        <f t="shared" ref="F30:Q30" si="7">F79</f>
        <v>3420552.7602913338</v>
      </c>
      <c r="G30" s="100">
        <f t="shared" si="7"/>
        <v>3465791.1843665</v>
      </c>
      <c r="H30" s="100">
        <f t="shared" si="7"/>
        <v>3511206.3847549171</v>
      </c>
      <c r="I30" s="100">
        <f t="shared" si="7"/>
        <v>3556721.5208500838</v>
      </c>
      <c r="J30" s="100">
        <f t="shared" si="7"/>
        <v>3602065.7605630839</v>
      </c>
      <c r="K30" s="100">
        <f t="shared" si="7"/>
        <v>3632305.1022765837</v>
      </c>
      <c r="L30" s="100">
        <f t="shared" si="7"/>
        <v>3677450.8039900842</v>
      </c>
      <c r="M30" s="100">
        <f t="shared" si="7"/>
        <v>3722596.5057035843</v>
      </c>
      <c r="N30" s="100">
        <f t="shared" si="7"/>
        <v>3767742.2074170839</v>
      </c>
      <c r="O30" s="100">
        <f t="shared" si="7"/>
        <v>3812887.9091305844</v>
      </c>
      <c r="P30" s="100">
        <f t="shared" si="7"/>
        <v>3858133.5189906675</v>
      </c>
      <c r="Q30" s="100">
        <f t="shared" si="7"/>
        <v>3702528.6212746673</v>
      </c>
      <c r="R30" s="100">
        <f t="shared" si="3"/>
        <v>3623484.1942942566</v>
      </c>
      <c r="S30" s="5"/>
      <c r="T30" s="366" t="s">
        <v>466</v>
      </c>
      <c r="U30" s="367">
        <v>353</v>
      </c>
      <c r="V30" s="368">
        <v>702951.56</v>
      </c>
      <c r="W30" s="368">
        <v>686481.89</v>
      </c>
      <c r="X30" s="368">
        <v>687213.29</v>
      </c>
      <c r="Y30" s="368">
        <v>686778.87</v>
      </c>
      <c r="Z30" s="368">
        <v>686955.78</v>
      </c>
      <c r="AA30" s="368">
        <v>686955.78</v>
      </c>
      <c r="AB30" s="368">
        <v>686955.78</v>
      </c>
      <c r="AC30" s="368">
        <v>686955.78</v>
      </c>
      <c r="AD30" s="368">
        <v>686955.78</v>
      </c>
      <c r="AE30" s="368">
        <v>686955.78</v>
      </c>
      <c r="AF30" s="368">
        <v>686955.78</v>
      </c>
      <c r="AG30" s="368">
        <v>686955.78</v>
      </c>
      <c r="AH30" s="368">
        <v>9553.4420876332006</v>
      </c>
      <c r="AI30" s="368">
        <v>10662.230770913</v>
      </c>
      <c r="AJ30" s="368">
        <v>12007.7259211003</v>
      </c>
      <c r="AK30" s="368">
        <v>13333.193660067</v>
      </c>
      <c r="AL30" s="368">
        <v>14669.8307689752</v>
      </c>
      <c r="AM30" s="368">
        <v>16003.170720608399</v>
      </c>
      <c r="AN30" s="368">
        <v>17336.414498432401</v>
      </c>
      <c r="AO30" s="368">
        <v>18669.761319623402</v>
      </c>
      <c r="AP30" s="368">
        <v>20002.9638801006</v>
      </c>
      <c r="AQ30" s="368">
        <v>21194.3100720078</v>
      </c>
      <c r="AR30" s="368">
        <v>22485.464069191199</v>
      </c>
      <c r="AS30" s="368">
        <v>23806.349512533001</v>
      </c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</row>
    <row r="31" spans="1:70">
      <c r="A31" s="12">
        <f t="shared" si="1"/>
        <v>17</v>
      </c>
      <c r="B31" s="7"/>
      <c r="C31" s="3" t="str">
        <f>+C21</f>
        <v xml:space="preserve">  Common</v>
      </c>
      <c r="D31" s="5" t="s">
        <v>220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>
        <v>0</v>
      </c>
      <c r="R31" s="100">
        <f t="shared" si="3"/>
        <v>0</v>
      </c>
      <c r="S31" s="5"/>
      <c r="T31" s="354"/>
      <c r="U31" s="354"/>
      <c r="V31" s="356">
        <f>V28+V30</f>
        <v>1829890.61</v>
      </c>
      <c r="W31" s="356">
        <f t="shared" ref="W31:AS31" si="8">W28+W30</f>
        <v>1818944.6099999999</v>
      </c>
      <c r="X31" s="356">
        <f t="shared" si="8"/>
        <v>1818327.48</v>
      </c>
      <c r="Y31" s="356">
        <f t="shared" si="8"/>
        <v>1817893.06</v>
      </c>
      <c r="Z31" s="356">
        <f t="shared" si="8"/>
        <v>1818214.08</v>
      </c>
      <c r="AA31" s="356">
        <f t="shared" si="8"/>
        <v>1819829.76</v>
      </c>
      <c r="AB31" s="356">
        <f t="shared" si="8"/>
        <v>1818214.08</v>
      </c>
      <c r="AC31" s="356">
        <f t="shared" si="8"/>
        <v>1819177.24</v>
      </c>
      <c r="AD31" s="356">
        <f t="shared" si="8"/>
        <v>1819177.24</v>
      </c>
      <c r="AE31" s="356">
        <f t="shared" si="8"/>
        <v>1819177.24</v>
      </c>
      <c r="AF31" s="356">
        <f t="shared" si="8"/>
        <v>1819177.24</v>
      </c>
      <c r="AG31" s="356">
        <f t="shared" si="8"/>
        <v>1819177.24</v>
      </c>
      <c r="AH31" s="356">
        <f t="shared" si="8"/>
        <v>26735.611317611201</v>
      </c>
      <c r="AI31" s="356">
        <f t="shared" si="8"/>
        <v>30374.794170036199</v>
      </c>
      <c r="AJ31" s="356">
        <f t="shared" si="8"/>
        <v>34133.292235703702</v>
      </c>
      <c r="AK31" s="356">
        <f t="shared" si="8"/>
        <v>37890.4631937581</v>
      </c>
      <c r="AL31" s="356">
        <f t="shared" si="8"/>
        <v>41657.502089014204</v>
      </c>
      <c r="AM31" s="356">
        <f t="shared" si="8"/>
        <v>45455.311247933998</v>
      </c>
      <c r="AN31" s="356">
        <f t="shared" si="8"/>
        <v>49164.593020592401</v>
      </c>
      <c r="AO31" s="356">
        <f t="shared" si="8"/>
        <v>52940.451870491801</v>
      </c>
      <c r="AP31" s="356">
        <f t="shared" si="8"/>
        <v>56684.493585746997</v>
      </c>
      <c r="AQ31" s="356">
        <f t="shared" si="8"/>
        <v>60281.595258076799</v>
      </c>
      <c r="AR31" s="356">
        <f t="shared" si="8"/>
        <v>63972.617184090799</v>
      </c>
      <c r="AS31" s="356">
        <f t="shared" si="8"/>
        <v>67628.732033111795</v>
      </c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</row>
    <row r="32" spans="1:70">
      <c r="A32" s="12">
        <f t="shared" si="1"/>
        <v>18</v>
      </c>
      <c r="B32" s="7"/>
      <c r="C32" s="3" t="s">
        <v>7</v>
      </c>
      <c r="D32" s="5" t="str">
        <f>"(sum lines "&amp;A25&amp;" - "&amp;A31&amp;")"</f>
        <v>(sum lines 11 - 17)</v>
      </c>
      <c r="E32" s="154">
        <f>SUM(E25:E31)</f>
        <v>389382512.43853849</v>
      </c>
      <c r="F32" s="154">
        <f t="shared" ref="F32:R32" si="9">SUM(F25:F31)</f>
        <v>388177415.55220497</v>
      </c>
      <c r="G32" s="154">
        <f t="shared" si="9"/>
        <v>391383873.80360919</v>
      </c>
      <c r="H32" s="154">
        <f t="shared" si="9"/>
        <v>393116647.90560877</v>
      </c>
      <c r="I32" s="154">
        <f t="shared" si="9"/>
        <v>395954221.91982031</v>
      </c>
      <c r="J32" s="154">
        <f t="shared" si="9"/>
        <v>397750339.35050124</v>
      </c>
      <c r="K32" s="154">
        <f t="shared" si="9"/>
        <v>400258274.69622004</v>
      </c>
      <c r="L32" s="154">
        <f t="shared" si="9"/>
        <v>402917865.66331792</v>
      </c>
      <c r="M32" s="154">
        <f t="shared" si="9"/>
        <v>405748589.72075796</v>
      </c>
      <c r="N32" s="154">
        <f t="shared" si="9"/>
        <v>408028006.20924717</v>
      </c>
      <c r="O32" s="154">
        <f>SUM(O25:O31)</f>
        <v>410525452.07024133</v>
      </c>
      <c r="P32" s="154">
        <f>SUM(P25:P31)</f>
        <v>412345897.86592364</v>
      </c>
      <c r="Q32" s="154">
        <f>SUM(Q25:Q31)</f>
        <v>412808274.37518245</v>
      </c>
      <c r="R32" s="154">
        <f t="shared" si="9"/>
        <v>400645951.65932095</v>
      </c>
      <c r="S32" s="5"/>
      <c r="T32" s="354"/>
      <c r="U32" s="354"/>
      <c r="V32" s="355"/>
      <c r="W32" s="355"/>
      <c r="X32" s="355"/>
      <c r="Y32" s="355"/>
      <c r="Z32" s="355"/>
      <c r="AA32" s="355"/>
      <c r="AB32" s="355"/>
      <c r="AC32" s="355"/>
      <c r="AD32" s="355"/>
      <c r="AE32" s="355"/>
      <c r="AF32" s="355"/>
      <c r="AG32" s="355"/>
      <c r="AH32" s="355"/>
      <c r="AI32" s="355"/>
      <c r="AJ32" s="355"/>
      <c r="AK32" s="355"/>
      <c r="AL32" s="355"/>
      <c r="AM32" s="355"/>
      <c r="AN32" s="355"/>
      <c r="AO32" s="355"/>
      <c r="AP32" s="355"/>
      <c r="AQ32" s="355"/>
      <c r="AR32" s="355"/>
      <c r="AS32" s="355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</row>
    <row r="33" spans="1:70">
      <c r="A33" s="12">
        <f t="shared" si="1"/>
        <v>19</v>
      </c>
      <c r="B33" s="7"/>
      <c r="C33" s="7"/>
      <c r="D33" s="5" t="s">
        <v>194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5"/>
      <c r="T33" s="354"/>
      <c r="U33" s="354"/>
      <c r="V33" s="355"/>
      <c r="W33" s="355"/>
      <c r="X33" s="355"/>
      <c r="Y33" s="355"/>
      <c r="Z33" s="355"/>
      <c r="AA33" s="355"/>
      <c r="AB33" s="355"/>
      <c r="AC33" s="355"/>
      <c r="AD33" s="355"/>
      <c r="AE33" s="355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355"/>
      <c r="AQ33" s="355"/>
      <c r="AR33" s="355"/>
      <c r="AS33" s="355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</row>
    <row r="34" spans="1:70">
      <c r="A34" s="12">
        <f t="shared" si="1"/>
        <v>20</v>
      </c>
      <c r="B34" s="7"/>
      <c r="C34" s="3" t="s">
        <v>223</v>
      </c>
      <c r="D34" s="5" t="s">
        <v>413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5"/>
      <c r="T34" s="354"/>
      <c r="U34" s="354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355"/>
      <c r="AQ34" s="355"/>
      <c r="AR34" s="355"/>
      <c r="AS34" s="355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</row>
    <row r="35" spans="1:70">
      <c r="A35" s="12">
        <f t="shared" si="1"/>
        <v>21</v>
      </c>
      <c r="B35" s="7"/>
      <c r="C35" s="3" t="str">
        <f>+C25</f>
        <v xml:space="preserve">  Production</v>
      </c>
      <c r="D35" s="5" t="str">
        <f t="shared" ref="D35:D41" si="10">"(line "&amp;A15&amp;" - line "&amp;A25&amp;")"</f>
        <v>(line 1 - line 11)</v>
      </c>
      <c r="E35" s="100">
        <f>+E15-E25</f>
        <v>400776395.3323251</v>
      </c>
      <c r="F35" s="100">
        <f t="shared" ref="F35:Q35" si="11">+F15-F25</f>
        <v>401263293.63999593</v>
      </c>
      <c r="G35" s="100">
        <f t="shared" si="11"/>
        <v>401698207.47795624</v>
      </c>
      <c r="H35" s="100">
        <f t="shared" si="11"/>
        <v>400705756.68649006</v>
      </c>
      <c r="I35" s="100">
        <f t="shared" si="11"/>
        <v>399463902.34407258</v>
      </c>
      <c r="J35" s="100">
        <f t="shared" si="11"/>
        <v>403081523.98846644</v>
      </c>
      <c r="K35" s="100">
        <f t="shared" si="11"/>
        <v>406211674.69041246</v>
      </c>
      <c r="L35" s="100">
        <f t="shared" si="11"/>
        <v>405368344.30160826</v>
      </c>
      <c r="M35" s="100">
        <f t="shared" si="11"/>
        <v>404736839.43845463</v>
      </c>
      <c r="N35" s="100">
        <f t="shared" si="11"/>
        <v>403544307.04229969</v>
      </c>
      <c r="O35" s="100">
        <f t="shared" si="11"/>
        <v>403004259.19412911</v>
      </c>
      <c r="P35" s="100">
        <f t="shared" si="11"/>
        <v>401411430.31121778</v>
      </c>
      <c r="Q35" s="100">
        <f t="shared" si="11"/>
        <v>400553416.14991438</v>
      </c>
      <c r="R35" s="100">
        <f>R15-R25</f>
        <v>402447642.35364181</v>
      </c>
      <c r="S35" s="5"/>
      <c r="T35" s="354"/>
      <c r="U35" s="354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  <c r="AS35" s="355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</row>
    <row r="36" spans="1:70">
      <c r="A36" s="12">
        <f t="shared" si="1"/>
        <v>22</v>
      </c>
      <c r="B36" s="7"/>
      <c r="C36" s="3" t="s">
        <v>215</v>
      </c>
      <c r="D36" s="5" t="str">
        <f t="shared" si="10"/>
        <v>(line 2 - line 12)</v>
      </c>
      <c r="E36" s="100">
        <f t="shared" ref="E36:Q41" si="12">+E16-E26</f>
        <v>106085261.56155297</v>
      </c>
      <c r="F36" s="100">
        <f t="shared" si="12"/>
        <v>106709386.95235309</v>
      </c>
      <c r="G36" s="100">
        <f t="shared" si="12"/>
        <v>105617124.41595918</v>
      </c>
      <c r="H36" s="100">
        <f t="shared" si="12"/>
        <v>105091386.56939729</v>
      </c>
      <c r="I36" s="100">
        <f t="shared" si="12"/>
        <v>104835069.87055615</v>
      </c>
      <c r="J36" s="100">
        <f t="shared" si="12"/>
        <v>139661864.15445793</v>
      </c>
      <c r="K36" s="100">
        <f t="shared" si="12"/>
        <v>140302632.36208838</v>
      </c>
      <c r="L36" s="100">
        <f t="shared" si="12"/>
        <v>140194537.19573486</v>
      </c>
      <c r="M36" s="100">
        <f t="shared" si="12"/>
        <v>140073264.19582707</v>
      </c>
      <c r="N36" s="100">
        <f t="shared" si="12"/>
        <v>140090905.71733817</v>
      </c>
      <c r="O36" s="100">
        <f t="shared" si="12"/>
        <v>139935275.7789222</v>
      </c>
      <c r="P36" s="100">
        <f t="shared" si="12"/>
        <v>139965036.18580335</v>
      </c>
      <c r="Q36" s="100">
        <f t="shared" si="12"/>
        <v>139688991.07654718</v>
      </c>
      <c r="R36" s="100">
        <f t="shared" ref="R36:R41" si="13">R16-R26</f>
        <v>126788518.15665676</v>
      </c>
      <c r="S36" s="5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</row>
    <row r="37" spans="1:70">
      <c r="A37" s="12">
        <f t="shared" si="1"/>
        <v>23</v>
      </c>
      <c r="B37" s="7"/>
      <c r="C37" s="3" t="s">
        <v>297</v>
      </c>
      <c r="D37" s="5" t="str">
        <f t="shared" si="10"/>
        <v>(line 3 - line 13)</v>
      </c>
      <c r="E37" s="100">
        <f t="shared" si="12"/>
        <v>238059714.6616261</v>
      </c>
      <c r="F37" s="100">
        <f t="shared" si="12"/>
        <v>237075351.68211663</v>
      </c>
      <c r="G37" s="100">
        <f t="shared" si="12"/>
        <v>236592461.06836492</v>
      </c>
      <c r="H37" s="100">
        <f t="shared" si="12"/>
        <v>236462441.8286891</v>
      </c>
      <c r="I37" s="100">
        <f t="shared" si="12"/>
        <v>236360617.58658907</v>
      </c>
      <c r="J37" s="100">
        <f t="shared" si="12"/>
        <v>236300462.65798002</v>
      </c>
      <c r="K37" s="100">
        <f t="shared" si="12"/>
        <v>236028270.61726162</v>
      </c>
      <c r="L37" s="100">
        <f t="shared" si="12"/>
        <v>235939557.67929748</v>
      </c>
      <c r="M37" s="100">
        <f t="shared" si="12"/>
        <v>236640889.90012866</v>
      </c>
      <c r="N37" s="100">
        <f t="shared" si="12"/>
        <v>236545185.6092335</v>
      </c>
      <c r="O37" s="100">
        <f t="shared" si="12"/>
        <v>238903042.4440698</v>
      </c>
      <c r="P37" s="100">
        <f t="shared" si="12"/>
        <v>239698717.48669642</v>
      </c>
      <c r="Q37" s="100">
        <f t="shared" si="12"/>
        <v>242472540.98934945</v>
      </c>
      <c r="R37" s="100">
        <f t="shared" si="13"/>
        <v>237467634.93933871</v>
      </c>
      <c r="S37" s="5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</row>
    <row r="38" spans="1:70">
      <c r="A38" s="12">
        <f t="shared" si="1"/>
        <v>24</v>
      </c>
      <c r="B38" s="7"/>
      <c r="C38" s="3" t="str">
        <f>+C28</f>
        <v xml:space="preserve">  General &amp; Intangible</v>
      </c>
      <c r="D38" s="5" t="str">
        <f t="shared" si="10"/>
        <v>(line 4 - line 14)</v>
      </c>
      <c r="E38" s="100">
        <f t="shared" si="12"/>
        <v>20942148.824467164</v>
      </c>
      <c r="F38" s="100">
        <f t="shared" si="12"/>
        <v>20674514.707864121</v>
      </c>
      <c r="G38" s="100">
        <f t="shared" si="12"/>
        <v>20538673.777895369</v>
      </c>
      <c r="H38" s="100">
        <f t="shared" si="12"/>
        <v>20431525.219163064</v>
      </c>
      <c r="I38" s="100">
        <f t="shared" si="12"/>
        <v>20028024.789580412</v>
      </c>
      <c r="J38" s="100">
        <f t="shared" si="12"/>
        <v>19746623.614101004</v>
      </c>
      <c r="K38" s="100">
        <f t="shared" si="12"/>
        <v>19614363.41641273</v>
      </c>
      <c r="L38" s="100">
        <f t="shared" si="12"/>
        <v>19399817.309325136</v>
      </c>
      <c r="M38" s="100">
        <f t="shared" si="12"/>
        <v>19216151.421003796</v>
      </c>
      <c r="N38" s="100">
        <f t="shared" si="12"/>
        <v>19018375.356942069</v>
      </c>
      <c r="O38" s="100">
        <f t="shared" si="12"/>
        <v>19387305.882586882</v>
      </c>
      <c r="P38" s="100">
        <f t="shared" si="12"/>
        <v>21523385.685343202</v>
      </c>
      <c r="Q38" s="100">
        <f t="shared" si="12"/>
        <v>19648218.851449944</v>
      </c>
      <c r="R38" s="100">
        <f t="shared" si="13"/>
        <v>20013009.912010372</v>
      </c>
      <c r="S38" s="5"/>
      <c r="T38" s="354"/>
      <c r="U38" s="354"/>
      <c r="V38" s="355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  <c r="AM38" s="355"/>
      <c r="AN38" s="355"/>
      <c r="AO38" s="355"/>
      <c r="AP38" s="355"/>
      <c r="AQ38" s="355"/>
      <c r="AR38" s="355"/>
      <c r="AS38" s="355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</row>
    <row r="39" spans="1:70">
      <c r="A39" s="12">
        <f t="shared" si="1"/>
        <v>25</v>
      </c>
      <c r="B39" s="7"/>
      <c r="C39" s="3" t="s">
        <v>137</v>
      </c>
      <c r="D39" s="5" t="str">
        <f t="shared" si="10"/>
        <v>(line 5 - line 15)</v>
      </c>
      <c r="E39" s="100">
        <f>+E19-E29</f>
        <v>15524701.743239529</v>
      </c>
      <c r="F39" s="100">
        <f t="shared" si="12"/>
        <v>14782388.901289694</v>
      </c>
      <c r="G39" s="100">
        <f t="shared" si="12"/>
        <v>15505433.976114664</v>
      </c>
      <c r="H39" s="100">
        <f t="shared" si="12"/>
        <v>15084349.74123363</v>
      </c>
      <c r="I39" s="100">
        <f t="shared" si="12"/>
        <v>14981589.359408597</v>
      </c>
      <c r="J39" s="100">
        <f t="shared" si="12"/>
        <v>14841310.644233562</v>
      </c>
      <c r="K39" s="100">
        <f t="shared" si="12"/>
        <v>14661163.479058526</v>
      </c>
      <c r="L39" s="100">
        <f t="shared" si="12"/>
        <v>14744003.583883494</v>
      </c>
      <c r="M39" s="100">
        <f t="shared" si="12"/>
        <v>14412246.268708458</v>
      </c>
      <c r="N39" s="100">
        <f t="shared" si="12"/>
        <v>14442867.349533426</v>
      </c>
      <c r="O39" s="100">
        <f t="shared" si="12"/>
        <v>14545083.143802395</v>
      </c>
      <c r="P39" s="100">
        <f t="shared" si="12"/>
        <v>15145766.298627356</v>
      </c>
      <c r="Q39" s="100">
        <f t="shared" si="12"/>
        <v>15564997.403452326</v>
      </c>
      <c r="R39" s="100">
        <f t="shared" si="13"/>
        <v>14941223.222506592</v>
      </c>
      <c r="S39" s="5"/>
      <c r="T39" s="354"/>
      <c r="U39" s="354"/>
      <c r="V39" s="355"/>
      <c r="W39" s="355"/>
      <c r="X39" s="355"/>
      <c r="Y39" s="355"/>
      <c r="Z39" s="355"/>
      <c r="AA39" s="355"/>
      <c r="AB39" s="355"/>
      <c r="AC39" s="355"/>
      <c r="AD39" s="355"/>
      <c r="AE39" s="355"/>
      <c r="AF39" s="355"/>
      <c r="AG39" s="355"/>
      <c r="AH39" s="355"/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</row>
    <row r="40" spans="1:70">
      <c r="A40" s="12">
        <f t="shared" si="1"/>
        <v>26</v>
      </c>
      <c r="B40" s="7"/>
      <c r="C40" s="3" t="str">
        <f>+C30</f>
        <v xml:space="preserve">  Communication System</v>
      </c>
      <c r="D40" s="5" t="str">
        <f t="shared" si="10"/>
        <v>(line 6 - line 16)</v>
      </c>
      <c r="E40" s="100">
        <f t="shared" si="12"/>
        <v>3871710.7037838334</v>
      </c>
      <c r="F40" s="100">
        <f t="shared" si="12"/>
        <v>3825464.4597086669</v>
      </c>
      <c r="G40" s="100">
        <f t="shared" si="12"/>
        <v>3780226.0356335007</v>
      </c>
      <c r="H40" s="100">
        <f t="shared" si="12"/>
        <v>3782915.3252450838</v>
      </c>
      <c r="I40" s="100">
        <f t="shared" si="12"/>
        <v>3737322.0991499173</v>
      </c>
      <c r="J40" s="100">
        <f t="shared" si="12"/>
        <v>3645519.3994369162</v>
      </c>
      <c r="K40" s="100">
        <f t="shared" si="12"/>
        <v>3600334.7177234166</v>
      </c>
      <c r="L40" s="100">
        <f t="shared" si="12"/>
        <v>3555189.0160099161</v>
      </c>
      <c r="M40" s="100">
        <f t="shared" si="12"/>
        <v>3510043.314296416</v>
      </c>
      <c r="N40" s="100">
        <f t="shared" si="12"/>
        <v>3464897.6125829164</v>
      </c>
      <c r="O40" s="100">
        <f t="shared" si="12"/>
        <v>3419751.9108694158</v>
      </c>
      <c r="P40" s="100">
        <f t="shared" si="12"/>
        <v>3401030.791009333</v>
      </c>
      <c r="Q40" s="100">
        <f>+Q20-Q30</f>
        <v>3356438.2587253326</v>
      </c>
      <c r="R40" s="100">
        <f t="shared" si="13"/>
        <v>3611603.3572442043</v>
      </c>
      <c r="S40" s="5"/>
      <c r="T40" s="354"/>
      <c r="U40" s="354"/>
      <c r="V40" s="355"/>
      <c r="W40" s="355"/>
      <c r="X40" s="355"/>
      <c r="Y40" s="355"/>
      <c r="Z40" s="355"/>
      <c r="AA40" s="355"/>
      <c r="AB40" s="355"/>
      <c r="AC40" s="355"/>
      <c r="AD40" s="355"/>
      <c r="AE40" s="355"/>
      <c r="AF40" s="355"/>
      <c r="AG40" s="355"/>
      <c r="AH40" s="355"/>
      <c r="AI40" s="355"/>
      <c r="AJ40" s="355"/>
      <c r="AK40" s="355"/>
      <c r="AL40" s="355"/>
      <c r="AM40" s="355"/>
      <c r="AN40" s="355"/>
      <c r="AO40" s="355"/>
      <c r="AP40" s="355"/>
      <c r="AQ40" s="355"/>
      <c r="AR40" s="355"/>
      <c r="AS40" s="355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</row>
    <row r="41" spans="1:70">
      <c r="A41" s="12">
        <f t="shared" si="1"/>
        <v>27</v>
      </c>
      <c r="B41" s="7"/>
      <c r="C41" s="3" t="str">
        <f>+C31</f>
        <v xml:space="preserve">  Common</v>
      </c>
      <c r="D41" s="5" t="str">
        <f t="shared" si="10"/>
        <v>(line 7 - line 17)</v>
      </c>
      <c r="E41" s="100">
        <f t="shared" si="12"/>
        <v>0</v>
      </c>
      <c r="F41" s="100">
        <f t="shared" si="12"/>
        <v>0</v>
      </c>
      <c r="G41" s="100">
        <f t="shared" si="12"/>
        <v>0</v>
      </c>
      <c r="H41" s="100">
        <f t="shared" si="12"/>
        <v>0</v>
      </c>
      <c r="I41" s="100">
        <f t="shared" si="12"/>
        <v>0</v>
      </c>
      <c r="J41" s="100">
        <f t="shared" si="12"/>
        <v>0</v>
      </c>
      <c r="K41" s="100">
        <f t="shared" si="12"/>
        <v>0</v>
      </c>
      <c r="L41" s="100">
        <f t="shared" si="12"/>
        <v>0</v>
      </c>
      <c r="M41" s="100">
        <f t="shared" si="12"/>
        <v>0</v>
      </c>
      <c r="N41" s="100">
        <f t="shared" si="12"/>
        <v>0</v>
      </c>
      <c r="O41" s="100">
        <f t="shared" si="12"/>
        <v>0</v>
      </c>
      <c r="P41" s="100">
        <f t="shared" si="12"/>
        <v>0</v>
      </c>
      <c r="Q41" s="100">
        <f t="shared" si="12"/>
        <v>0</v>
      </c>
      <c r="R41" s="150">
        <f t="shared" si="13"/>
        <v>0</v>
      </c>
      <c r="S41" s="5"/>
      <c r="T41" s="354"/>
      <c r="U41" s="354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</row>
    <row r="42" spans="1:70">
      <c r="A42" s="12">
        <f t="shared" si="1"/>
        <v>28</v>
      </c>
      <c r="B42" s="7"/>
      <c r="C42" s="3" t="s">
        <v>6</v>
      </c>
      <c r="D42" s="5" t="str">
        <f>"(sum lines "&amp;A35&amp;" - "&amp;A41&amp;")"</f>
        <v>(sum lines 21 - 27)</v>
      </c>
      <c r="E42" s="155">
        <f>SUM(E35:E41)</f>
        <v>785259932.82699478</v>
      </c>
      <c r="F42" s="155">
        <f t="shared" ref="F42:Q42" si="14">SUM(F35:F41)</f>
        <v>784330400.34332824</v>
      </c>
      <c r="G42" s="155">
        <f t="shared" si="14"/>
        <v>783732126.75192368</v>
      </c>
      <c r="H42" s="155">
        <f t="shared" si="14"/>
        <v>781558375.37021816</v>
      </c>
      <c r="I42" s="155">
        <f t="shared" si="14"/>
        <v>779406526.04935682</v>
      </c>
      <c r="J42" s="155">
        <f t="shared" si="14"/>
        <v>817277304.45867586</v>
      </c>
      <c r="K42" s="155">
        <f t="shared" si="14"/>
        <v>820418439.28295708</v>
      </c>
      <c r="L42" s="155">
        <f t="shared" si="14"/>
        <v>819201449.08585906</v>
      </c>
      <c r="M42" s="155">
        <f t="shared" si="14"/>
        <v>818589434.53841889</v>
      </c>
      <c r="N42" s="155">
        <f t="shared" si="14"/>
        <v>817106538.68792975</v>
      </c>
      <c r="O42" s="155">
        <f t="shared" si="14"/>
        <v>819194718.35437977</v>
      </c>
      <c r="P42" s="155">
        <f t="shared" si="14"/>
        <v>821145366.75869751</v>
      </c>
      <c r="Q42" s="155">
        <f t="shared" si="14"/>
        <v>821284602.72943854</v>
      </c>
      <c r="R42" s="155">
        <f>SUM(R35:R41)</f>
        <v>805269631.9413985</v>
      </c>
      <c r="S42" s="5"/>
      <c r="T42" s="354"/>
      <c r="U42" s="354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</row>
    <row r="43" spans="1:70">
      <c r="A43" s="12"/>
      <c r="B43" s="7"/>
      <c r="C43" s="3"/>
      <c r="D43" s="5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5"/>
      <c r="T43" s="354"/>
      <c r="U43" s="354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5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</row>
    <row r="44" spans="1:70">
      <c r="A44" s="12"/>
      <c r="B44" s="7"/>
      <c r="C44" s="3" t="s">
        <v>414</v>
      </c>
      <c r="D44" s="5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5"/>
      <c r="T44" s="354"/>
      <c r="U44" s="354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5"/>
      <c r="AK44" s="355"/>
      <c r="AL44" s="355"/>
      <c r="AM44" s="355"/>
      <c r="AN44" s="355"/>
      <c r="AO44" s="355"/>
      <c r="AP44" s="355"/>
      <c r="AQ44" s="355"/>
      <c r="AR44" s="355"/>
      <c r="AS44" s="355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</row>
    <row r="45" spans="1:70" ht="18">
      <c r="A45" s="12"/>
      <c r="B45" s="7"/>
      <c r="C45" s="201" t="s">
        <v>415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354"/>
      <c r="U45" s="354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5"/>
      <c r="AK45" s="355"/>
      <c r="AL45" s="355"/>
      <c r="AM45" s="355"/>
      <c r="AN45" s="355"/>
      <c r="AO45" s="355"/>
      <c r="AP45" s="355"/>
      <c r="AQ45" s="355"/>
      <c r="AR45" s="355"/>
      <c r="AS45" s="355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</row>
    <row r="46" spans="1:70">
      <c r="A46" s="12"/>
      <c r="B46" s="7"/>
      <c r="C46" s="3"/>
      <c r="D46" s="5"/>
      <c r="E46" s="5"/>
      <c r="F46" s="5"/>
      <c r="G46" s="5"/>
      <c r="H46" s="5"/>
      <c r="I46" s="5"/>
      <c r="J46" s="5"/>
      <c r="K46" s="14"/>
      <c r="L46" s="14"/>
      <c r="M46" s="14"/>
      <c r="N46" s="14"/>
      <c r="O46" s="14"/>
      <c r="P46" s="306"/>
      <c r="Q46" s="14"/>
      <c r="R46" s="5"/>
      <c r="S46" s="5"/>
      <c r="T46" s="354"/>
      <c r="U46" s="354"/>
      <c r="V46" s="355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  <c r="AG46" s="355"/>
      <c r="AH46" s="355"/>
      <c r="AI46" s="355"/>
      <c r="AJ46" s="355"/>
      <c r="AK46" s="355"/>
      <c r="AL46" s="355"/>
      <c r="AM46" s="355"/>
      <c r="AN46" s="355"/>
      <c r="AO46" s="355"/>
      <c r="AP46" s="355"/>
      <c r="AQ46" s="355"/>
      <c r="AR46" s="355"/>
      <c r="AS46" s="355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</row>
    <row r="47" spans="1:70" ht="23.25">
      <c r="A47" s="12"/>
      <c r="B47" s="7"/>
      <c r="C47" s="3"/>
      <c r="D47" s="5"/>
      <c r="E47" s="302" t="s">
        <v>450</v>
      </c>
      <c r="F47" s="14"/>
      <c r="G47" s="14"/>
      <c r="H47" s="348"/>
      <c r="I47" s="3"/>
      <c r="J47" s="5"/>
      <c r="K47" s="376"/>
      <c r="L47" s="377" t="s">
        <v>483</v>
      </c>
      <c r="M47" s="377"/>
      <c r="N47" s="306"/>
      <c r="O47" s="306"/>
      <c r="P47" s="306"/>
      <c r="Q47" s="306"/>
      <c r="S47" s="5"/>
      <c r="T47" s="354"/>
      <c r="U47" s="354"/>
      <c r="V47" s="355"/>
      <c r="W47" s="355"/>
      <c r="X47" s="355"/>
      <c r="Y47" s="355"/>
      <c r="Z47" s="355"/>
      <c r="AA47" s="355"/>
      <c r="AB47" s="355"/>
      <c r="AC47" s="355"/>
      <c r="AD47" s="355"/>
      <c r="AE47" s="355"/>
      <c r="AF47" s="355"/>
      <c r="AG47" s="355"/>
      <c r="AH47" s="355"/>
      <c r="AI47" s="355"/>
      <c r="AJ47" s="355"/>
      <c r="AK47" s="355"/>
      <c r="AL47" s="355"/>
      <c r="AM47" s="355"/>
      <c r="AN47" s="355"/>
      <c r="AO47" s="355"/>
      <c r="AP47" s="355"/>
      <c r="AQ47" s="355"/>
      <c r="AR47" s="355"/>
      <c r="AS47" s="355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</row>
    <row r="48" spans="1:70">
      <c r="A48" s="12">
        <f>+A42+1</f>
        <v>29</v>
      </c>
      <c r="B48" s="7"/>
      <c r="C48" s="7"/>
      <c r="D48" s="5"/>
      <c r="E48" s="303" t="s">
        <v>26</v>
      </c>
      <c r="F48" s="303" t="s">
        <v>27</v>
      </c>
      <c r="G48" s="303" t="s">
        <v>28</v>
      </c>
      <c r="H48" s="303"/>
      <c r="I48" s="7"/>
      <c r="J48" s="5"/>
      <c r="K48" s="376"/>
      <c r="L48" s="304">
        <v>42705</v>
      </c>
      <c r="M48" s="304">
        <v>43070</v>
      </c>
      <c r="N48" s="306"/>
      <c r="O48" s="306"/>
      <c r="P48" s="306"/>
      <c r="Q48" s="306"/>
      <c r="S48" s="152"/>
      <c r="T48" s="354"/>
      <c r="U48" s="354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5"/>
      <c r="AI48" s="355"/>
      <c r="AJ48" s="355"/>
      <c r="AK48" s="355"/>
      <c r="AL48" s="355"/>
      <c r="AM48" s="355"/>
      <c r="AN48" s="355"/>
      <c r="AO48" s="355"/>
      <c r="AP48" s="355"/>
      <c r="AQ48" s="355"/>
      <c r="AR48" s="355"/>
      <c r="AS48" s="355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</row>
    <row r="49" spans="1:63">
      <c r="A49" s="12">
        <f t="shared" si="1"/>
        <v>30</v>
      </c>
      <c r="B49" s="7"/>
      <c r="C49" s="363" t="s">
        <v>410</v>
      </c>
      <c r="D49" s="14"/>
      <c r="E49" s="304">
        <v>42705</v>
      </c>
      <c r="F49" s="304">
        <v>43070</v>
      </c>
      <c r="G49" s="14" t="s">
        <v>40</v>
      </c>
      <c r="H49" s="304"/>
      <c r="I49" s="363"/>
      <c r="J49" s="14"/>
      <c r="K49" s="376"/>
      <c r="L49" s="100">
        <v>0</v>
      </c>
      <c r="M49" s="100">
        <v>0</v>
      </c>
      <c r="N49" s="306"/>
      <c r="O49" s="306"/>
      <c r="P49" s="306"/>
      <c r="Q49" s="306"/>
      <c r="S49" s="152"/>
      <c r="T49" s="354"/>
      <c r="U49" s="354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5"/>
      <c r="AI49" s="355"/>
      <c r="AJ49" s="355"/>
      <c r="AK49" s="355"/>
      <c r="AL49" s="355"/>
      <c r="AM49" s="355"/>
      <c r="AN49" s="355"/>
      <c r="AO49" s="355"/>
      <c r="AP49" s="355"/>
      <c r="AQ49" s="355"/>
      <c r="AR49" s="355"/>
      <c r="AS49" s="355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</row>
    <row r="50" spans="1:63">
      <c r="A50" s="12">
        <f t="shared" si="1"/>
        <v>31</v>
      </c>
      <c r="B50" s="7"/>
      <c r="C50" s="364" t="s">
        <v>269</v>
      </c>
      <c r="D50" s="14" t="s">
        <v>401</v>
      </c>
      <c r="E50" s="100">
        <v>0</v>
      </c>
      <c r="F50" s="100">
        <v>0</v>
      </c>
      <c r="G50" s="100">
        <f t="shared" ref="G50:G55" si="15">(+E50+F50)/2</f>
        <v>0</v>
      </c>
      <c r="H50" s="100"/>
      <c r="I50" s="364"/>
      <c r="J50" s="14"/>
      <c r="K50" s="376" t="s">
        <v>484</v>
      </c>
      <c r="L50" s="100">
        <v>-192842703</v>
      </c>
      <c r="M50" s="100">
        <v>-122122002</v>
      </c>
      <c r="N50" s="306"/>
      <c r="O50" s="306"/>
      <c r="P50" s="306"/>
      <c r="Q50" s="306"/>
      <c r="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</row>
    <row r="51" spans="1:63">
      <c r="A51" s="12">
        <f t="shared" si="1"/>
        <v>32</v>
      </c>
      <c r="B51" s="7"/>
      <c r="C51" s="364" t="s">
        <v>270</v>
      </c>
      <c r="D51" s="14" t="s">
        <v>402</v>
      </c>
      <c r="E51" s="100">
        <f>L52</f>
        <v>-195664871.58918574</v>
      </c>
      <c r="F51" s="100">
        <f>M52</f>
        <v>-124042338.6701429</v>
      </c>
      <c r="G51" s="100">
        <f t="shared" si="15"/>
        <v>-159853605.12966433</v>
      </c>
      <c r="H51" s="14"/>
      <c r="I51" s="364"/>
      <c r="J51" s="14"/>
      <c r="K51" s="377" t="s">
        <v>485</v>
      </c>
      <c r="L51" s="379">
        <v>-2822168.5891857487</v>
      </c>
      <c r="M51" s="379">
        <v>-1920336.6701429044</v>
      </c>
      <c r="N51" s="306"/>
      <c r="O51" s="306"/>
      <c r="P51" s="306"/>
      <c r="Q51" s="306"/>
      <c r="S51" s="152"/>
      <c r="T51" s="152"/>
      <c r="U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</row>
    <row r="52" spans="1:63">
      <c r="A52" s="12">
        <f>+A51+1</f>
        <v>33</v>
      </c>
      <c r="B52" s="7"/>
      <c r="C52" s="364" t="s">
        <v>271</v>
      </c>
      <c r="D52" s="14" t="s">
        <v>403</v>
      </c>
      <c r="E52" s="150">
        <v>-34384010</v>
      </c>
      <c r="F52" s="150">
        <v>-18129142</v>
      </c>
      <c r="G52" s="100">
        <f t="shared" si="15"/>
        <v>-26256576</v>
      </c>
      <c r="H52" s="14"/>
      <c r="I52" s="364"/>
      <c r="J52" s="14"/>
      <c r="K52" s="377" t="s">
        <v>486</v>
      </c>
      <c r="L52" s="380">
        <f>L50+L51</f>
        <v>-195664871.58918574</v>
      </c>
      <c r="M52" s="380">
        <f>M50+M51</f>
        <v>-124042338.6701429</v>
      </c>
      <c r="N52" s="306"/>
      <c r="O52" s="306"/>
      <c r="P52" s="306"/>
      <c r="Q52" s="306"/>
      <c r="S52" s="152"/>
      <c r="T52" s="152"/>
      <c r="U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</row>
    <row r="53" spans="1:63" ht="23.25">
      <c r="A53" s="12">
        <f>+A52+1</f>
        <v>34</v>
      </c>
      <c r="B53" s="7"/>
      <c r="C53" s="364" t="s">
        <v>273</v>
      </c>
      <c r="D53" s="14" t="s">
        <v>404</v>
      </c>
      <c r="E53" s="150">
        <v>15707242</v>
      </c>
      <c r="F53" s="150">
        <v>29587154</v>
      </c>
      <c r="G53" s="100">
        <f t="shared" si="15"/>
        <v>22647198</v>
      </c>
      <c r="H53" s="14"/>
      <c r="I53" s="364"/>
      <c r="J53" s="14"/>
      <c r="K53" s="302"/>
      <c r="L53" s="14"/>
      <c r="M53" s="14"/>
      <c r="N53" s="306"/>
      <c r="O53" s="306"/>
      <c r="P53" s="306"/>
      <c r="Q53" s="306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</row>
    <row r="54" spans="1:63">
      <c r="A54" s="12">
        <f>+A53+1</f>
        <v>35</v>
      </c>
      <c r="B54" s="7"/>
      <c r="C54" s="19" t="s">
        <v>272</v>
      </c>
      <c r="D54" s="14" t="s">
        <v>405</v>
      </c>
      <c r="E54" s="150">
        <v>0</v>
      </c>
      <c r="F54" s="150"/>
      <c r="G54" s="100">
        <f t="shared" si="15"/>
        <v>0</v>
      </c>
      <c r="H54" s="14"/>
      <c r="I54" s="5"/>
      <c r="J54" s="5"/>
      <c r="K54" s="304">
        <v>42705</v>
      </c>
      <c r="L54" s="304">
        <v>43070</v>
      </c>
      <c r="M54" s="14" t="s">
        <v>40</v>
      </c>
      <c r="N54" s="306"/>
      <c r="O54" s="306"/>
      <c r="P54" s="306"/>
      <c r="Q54" s="306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</row>
    <row r="55" spans="1:63">
      <c r="A55" s="12">
        <f t="shared" si="1"/>
        <v>36</v>
      </c>
      <c r="B55" s="7"/>
      <c r="C55" s="364" t="s">
        <v>292</v>
      </c>
      <c r="D55" s="19" t="s">
        <v>456</v>
      </c>
      <c r="E55" s="365">
        <f>9367358*0.35</f>
        <v>3278575.3</v>
      </c>
      <c r="F55" s="372">
        <f>(5094675*0.21)+L57</f>
        <v>-97311506.696761936</v>
      </c>
      <c r="G55" s="365">
        <f t="shared" si="15"/>
        <v>-47016465.698380969</v>
      </c>
      <c r="H55" s="364" t="s">
        <v>454</v>
      </c>
      <c r="J55" s="14" t="s">
        <v>455</v>
      </c>
      <c r="K55" s="150">
        <v>0</v>
      </c>
      <c r="L55" s="150">
        <v>-97101164</v>
      </c>
      <c r="M55" s="100">
        <f>(+K55+L55)/2</f>
        <v>-48550582</v>
      </c>
      <c r="N55" s="306"/>
      <c r="O55" s="306"/>
      <c r="P55" s="306"/>
      <c r="Q55" s="306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</row>
    <row r="56" spans="1:63">
      <c r="A56" s="12">
        <f t="shared" si="1"/>
        <v>37</v>
      </c>
      <c r="B56" s="7"/>
      <c r="C56" s="3" t="s">
        <v>8</v>
      </c>
      <c r="D56" s="5" t="str">
        <f>"(sum lines "&amp;A50&amp;" - "&amp;A55&amp;")"</f>
        <v>(sum lines 31 - 36)</v>
      </c>
      <c r="E56" s="100">
        <f>SUM(E50:E55)</f>
        <v>-211063064.28918573</v>
      </c>
      <c r="F56" s="100">
        <f>SUM(F50:F55)</f>
        <v>-209895833.36690482</v>
      </c>
      <c r="G56" s="100">
        <f>SUM(G50:G55)</f>
        <v>-210479448.82804531</v>
      </c>
      <c r="H56" s="14"/>
      <c r="I56" s="5"/>
      <c r="J56" s="5" t="s">
        <v>485</v>
      </c>
      <c r="K56" s="306"/>
      <c r="L56" s="306">
        <v>-1280224.4467619362</v>
      </c>
      <c r="M56" s="306"/>
      <c r="N56" s="306"/>
      <c r="O56" s="306"/>
      <c r="P56" s="306"/>
      <c r="Q56" s="306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</row>
    <row r="57" spans="1:63">
      <c r="A57" s="12">
        <f t="shared" si="1"/>
        <v>38</v>
      </c>
      <c r="B57" s="7"/>
      <c r="C57" s="7"/>
      <c r="D57" s="5"/>
      <c r="E57" s="100"/>
      <c r="F57" s="100"/>
      <c r="G57" s="100"/>
      <c r="H57" s="14"/>
      <c r="I57" s="5"/>
      <c r="J57" s="5"/>
      <c r="K57" s="14"/>
      <c r="L57" s="14">
        <f>SUM(L55:L56)</f>
        <v>-98381388.446761936</v>
      </c>
      <c r="M57" s="306"/>
      <c r="N57" s="306"/>
      <c r="O57" s="349"/>
      <c r="P57" s="349"/>
      <c r="Q57" s="349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</row>
    <row r="58" spans="1:63">
      <c r="A58" s="12">
        <f t="shared" si="1"/>
        <v>39</v>
      </c>
      <c r="B58" s="7"/>
      <c r="C58" s="11" t="s">
        <v>230</v>
      </c>
      <c r="D58" s="5" t="s">
        <v>299</v>
      </c>
      <c r="E58" s="100"/>
      <c r="F58" s="100"/>
      <c r="G58" s="100">
        <f>(+E58+F58)/2</f>
        <v>0</v>
      </c>
      <c r="H58" s="14"/>
      <c r="I58" s="5"/>
      <c r="J58" s="5"/>
      <c r="K58" s="5"/>
      <c r="L58" s="131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</row>
    <row r="59" spans="1:63">
      <c r="A59" s="12">
        <f t="shared" si="1"/>
        <v>40</v>
      </c>
      <c r="B59" s="7"/>
      <c r="C59" s="3"/>
      <c r="D59" s="5"/>
      <c r="E59" s="100"/>
      <c r="F59" s="100"/>
      <c r="G59" s="100"/>
      <c r="H59" s="14"/>
      <c r="I59" s="5"/>
      <c r="J59" s="5"/>
      <c r="K59" s="5"/>
      <c r="L59" s="5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</row>
    <row r="60" spans="1:63">
      <c r="A60" s="12">
        <f t="shared" si="1"/>
        <v>41</v>
      </c>
      <c r="B60" s="7"/>
      <c r="C60" s="3" t="s">
        <v>416</v>
      </c>
      <c r="D60" s="5"/>
      <c r="E60" s="100"/>
      <c r="F60" s="100"/>
      <c r="G60" s="100"/>
      <c r="H60" s="14"/>
      <c r="I60" s="5"/>
      <c r="J60" s="5"/>
      <c r="K60" s="5"/>
      <c r="L60" s="5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</row>
    <row r="61" spans="1:63">
      <c r="A61" s="12">
        <f t="shared" si="1"/>
        <v>42</v>
      </c>
      <c r="B61" s="7"/>
      <c r="C61" s="3"/>
      <c r="D61" s="19"/>
      <c r="E61" s="100"/>
      <c r="F61" s="100"/>
      <c r="G61" s="100"/>
      <c r="H61" s="14"/>
      <c r="I61" s="5"/>
      <c r="J61" s="5"/>
      <c r="K61" s="5"/>
      <c r="L61" s="6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  <c r="BI61" s="152"/>
      <c r="BJ61" s="152"/>
      <c r="BK61" s="152"/>
    </row>
    <row r="62" spans="1:63">
      <c r="A62" s="12">
        <f t="shared" si="1"/>
        <v>43</v>
      </c>
      <c r="B62" s="7"/>
      <c r="C62" s="3" t="s">
        <v>358</v>
      </c>
      <c r="D62" s="5" t="s">
        <v>134</v>
      </c>
      <c r="E62" s="150">
        <v>4978503</v>
      </c>
      <c r="F62" s="150">
        <v>4210110</v>
      </c>
      <c r="G62" s="100">
        <f>(+E62+F62)/2</f>
        <v>4594306.5</v>
      </c>
      <c r="H62" s="14"/>
      <c r="I62" s="5"/>
      <c r="J62" s="5"/>
      <c r="K62" s="5"/>
      <c r="L62" s="6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  <c r="BI62" s="152"/>
      <c r="BJ62" s="152"/>
      <c r="BK62" s="152"/>
    </row>
    <row r="63" spans="1:63">
      <c r="A63" s="12">
        <f t="shared" si="1"/>
        <v>44</v>
      </c>
      <c r="B63" s="7"/>
      <c r="C63" s="3" t="s">
        <v>358</v>
      </c>
      <c r="D63" s="5" t="s">
        <v>133</v>
      </c>
      <c r="E63" s="150">
        <v>19059</v>
      </c>
      <c r="F63" s="150">
        <v>17641</v>
      </c>
      <c r="G63" s="100">
        <f>(+E63+F63)/2</f>
        <v>18350</v>
      </c>
      <c r="H63" s="14"/>
      <c r="I63" s="5"/>
      <c r="J63" s="5"/>
      <c r="K63" s="5"/>
      <c r="L63" s="6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</row>
    <row r="64" spans="1:63">
      <c r="A64" s="12">
        <f t="shared" si="1"/>
        <v>45</v>
      </c>
      <c r="B64" s="7"/>
      <c r="C64" s="3" t="s">
        <v>274</v>
      </c>
      <c r="D64" s="14" t="s">
        <v>74</v>
      </c>
      <c r="E64" s="150">
        <v>3523967</v>
      </c>
      <c r="F64" s="150">
        <v>3496663.59</v>
      </c>
      <c r="G64" s="100">
        <f>(+E64+F64)/2</f>
        <v>3510315.2949999999</v>
      </c>
      <c r="H64" s="14"/>
      <c r="I64" s="5"/>
      <c r="J64" s="5"/>
      <c r="K64" s="5"/>
      <c r="L64" s="6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</row>
    <row r="65" spans="1:63">
      <c r="A65" s="12">
        <f t="shared" si="1"/>
        <v>46</v>
      </c>
      <c r="B65" s="7"/>
      <c r="C65" s="3" t="s">
        <v>9</v>
      </c>
      <c r="D65" s="5" t="str">
        <f>"(sum lines "&amp;A61&amp;" - "&amp;A64&amp;")"</f>
        <v>(sum lines 42 - 45)</v>
      </c>
      <c r="E65" s="154">
        <f>SUM(E62:E64)</f>
        <v>8521529</v>
      </c>
      <c r="F65" s="154">
        <f>SUM(F62:F64)</f>
        <v>7724414.5899999999</v>
      </c>
      <c r="G65" s="154">
        <f>SUM(G62:G64)</f>
        <v>8122971.7949999999</v>
      </c>
      <c r="H65" s="305"/>
      <c r="I65" s="2"/>
      <c r="J65" s="2"/>
      <c r="K65" s="2"/>
      <c r="L65" s="89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</row>
    <row r="66" spans="1:63">
      <c r="E66" s="306"/>
      <c r="F66" s="306"/>
      <c r="G66" s="306"/>
      <c r="H66" s="306"/>
    </row>
    <row r="67" spans="1:63">
      <c r="E67" s="306"/>
      <c r="F67" s="306"/>
      <c r="G67" s="306"/>
      <c r="H67" s="306"/>
    </row>
    <row r="68" spans="1:63" ht="15.75">
      <c r="B68" s="381" t="s">
        <v>487</v>
      </c>
      <c r="C68" s="376"/>
      <c r="D68" s="376"/>
      <c r="E68" s="376"/>
      <c r="F68" s="376"/>
      <c r="G68" s="376"/>
      <c r="H68" s="376"/>
      <c r="I68" s="376"/>
      <c r="J68" s="376"/>
      <c r="K68" s="376"/>
      <c r="L68" s="376"/>
      <c r="M68" s="376"/>
      <c r="N68" s="376"/>
      <c r="O68" s="376"/>
      <c r="P68" s="376"/>
      <c r="Q68" s="376"/>
      <c r="R68" s="376"/>
    </row>
    <row r="69" spans="1:63">
      <c r="B69" s="376"/>
      <c r="C69" s="376" t="s">
        <v>488</v>
      </c>
      <c r="D69" s="376"/>
      <c r="E69" s="378">
        <v>40071560.31471353</v>
      </c>
      <c r="F69" s="378">
        <v>40353416.529604934</v>
      </c>
      <c r="G69" s="378">
        <v>40610890.312418818</v>
      </c>
      <c r="H69" s="378">
        <v>40868105.983453199</v>
      </c>
      <c r="I69" s="378">
        <v>41127360.701783866</v>
      </c>
      <c r="J69" s="378">
        <v>41416743.582618073</v>
      </c>
      <c r="K69" s="378">
        <v>41743388.480731606</v>
      </c>
      <c r="L69" s="378">
        <v>42066035.39634563</v>
      </c>
      <c r="M69" s="378">
        <v>42402520.49545192</v>
      </c>
      <c r="N69" s="378">
        <v>42727387.35738381</v>
      </c>
      <c r="O69" s="378">
        <v>43056492.734677814</v>
      </c>
      <c r="P69" s="378">
        <v>43344934.96493116</v>
      </c>
      <c r="Q69" s="378">
        <v>43694317.812616833</v>
      </c>
      <c r="R69" s="378">
        <f t="shared" ref="R69:R79" si="16">AVERAGE(E69:Q69)</f>
        <v>41806396.512825474</v>
      </c>
    </row>
    <row r="70" spans="1:63">
      <c r="B70" s="376"/>
      <c r="C70" s="376" t="s">
        <v>489</v>
      </c>
      <c r="D70" s="376"/>
      <c r="E70" s="378">
        <v>1240867.1337334989</v>
      </c>
      <c r="F70" s="382">
        <v>1248282.6880419988</v>
      </c>
      <c r="G70" s="382">
        <v>1255656.8716219987</v>
      </c>
      <c r="H70" s="382">
        <v>1263017.9971494987</v>
      </c>
      <c r="I70" s="382">
        <v>1270379.6376599986</v>
      </c>
      <c r="J70" s="382">
        <v>1279497.5429239986</v>
      </c>
      <c r="K70" s="382">
        <v>1288664.2771799986</v>
      </c>
      <c r="L70" s="382">
        <v>1297842.1979194987</v>
      </c>
      <c r="M70" s="382">
        <v>1307031.3387209987</v>
      </c>
      <c r="N70" s="382">
        <v>1316238.0652779988</v>
      </c>
      <c r="O70" s="382">
        <v>1325453.9263999988</v>
      </c>
      <c r="P70" s="382">
        <v>1334686.1592654989</v>
      </c>
      <c r="Q70" s="382">
        <v>1343922.5208359989</v>
      </c>
      <c r="R70" s="378">
        <f t="shared" si="16"/>
        <v>1290118.4889793065</v>
      </c>
    </row>
    <row r="71" spans="1:63">
      <c r="B71" s="376"/>
      <c r="C71" s="376" t="s">
        <v>490</v>
      </c>
      <c r="D71" s="376"/>
      <c r="E71" s="378">
        <f>E69+E70</f>
        <v>41312427.448447026</v>
      </c>
      <c r="F71" s="378">
        <f t="shared" ref="F71:Q71" si="17">F69+F70</f>
        <v>41601699.217646934</v>
      </c>
      <c r="G71" s="378">
        <f t="shared" si="17"/>
        <v>41866547.184040815</v>
      </c>
      <c r="H71" s="378">
        <f t="shared" si="17"/>
        <v>42131123.980602697</v>
      </c>
      <c r="I71" s="378">
        <f t="shared" si="17"/>
        <v>42397740.339443862</v>
      </c>
      <c r="J71" s="378">
        <f t="shared" si="17"/>
        <v>42696241.125542074</v>
      </c>
      <c r="K71" s="378">
        <f t="shared" si="17"/>
        <v>43032052.757911608</v>
      </c>
      <c r="L71" s="378">
        <f t="shared" si="17"/>
        <v>43363877.594265126</v>
      </c>
      <c r="M71" s="378">
        <f t="shared" si="17"/>
        <v>43709551.834172919</v>
      </c>
      <c r="N71" s="378">
        <f t="shared" si="17"/>
        <v>44043625.422661811</v>
      </c>
      <c r="O71" s="378">
        <f t="shared" si="17"/>
        <v>44381946.661077812</v>
      </c>
      <c r="P71" s="378">
        <f t="shared" si="17"/>
        <v>44679621.124196656</v>
      </c>
      <c r="Q71" s="378">
        <f t="shared" si="17"/>
        <v>45038240.333452828</v>
      </c>
      <c r="R71" s="378">
        <f t="shared" si="16"/>
        <v>43096515.001804784</v>
      </c>
    </row>
    <row r="72" spans="1:63">
      <c r="B72" s="376"/>
      <c r="C72" s="376"/>
      <c r="D72" s="376"/>
      <c r="E72" s="376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</row>
    <row r="73" spans="1:63">
      <c r="B73" s="376"/>
      <c r="C73" s="376" t="s">
        <v>491</v>
      </c>
      <c r="D73" s="376"/>
      <c r="E73" s="378">
        <v>17685961.029237501</v>
      </c>
      <c r="F73" s="378">
        <v>17829203.763507299</v>
      </c>
      <c r="G73" s="378">
        <v>17966337.933902301</v>
      </c>
      <c r="H73" s="378">
        <v>18104475.851725601</v>
      </c>
      <c r="I73" s="378">
        <v>18205189.058878001</v>
      </c>
      <c r="J73" s="378">
        <v>17588306.033828501</v>
      </c>
      <c r="K73" s="378">
        <v>17576037.4769421</v>
      </c>
      <c r="L73" s="378">
        <v>17647418.5531317</v>
      </c>
      <c r="M73" s="378">
        <v>17735014.833131701</v>
      </c>
      <c r="N73" s="378">
        <v>17844497.284149598</v>
      </c>
      <c r="O73" s="378">
        <v>17972980.323521201</v>
      </c>
      <c r="P73" s="378">
        <v>18079192.252983298</v>
      </c>
      <c r="Q73" s="378">
        <v>17944744.736646902</v>
      </c>
      <c r="R73" s="378">
        <f t="shared" si="16"/>
        <v>17859950.702429667</v>
      </c>
    </row>
    <row r="74" spans="1:63">
      <c r="B74" s="376"/>
      <c r="C74" s="376" t="s">
        <v>492</v>
      </c>
      <c r="D74" s="376"/>
      <c r="E74" s="378">
        <v>5708808.6262953309</v>
      </c>
      <c r="F74" s="378">
        <v>5779292.4186285809</v>
      </c>
      <c r="G74" s="378">
        <v>5849890.638202331</v>
      </c>
      <c r="H74" s="378">
        <v>5920650.8091113307</v>
      </c>
      <c r="I74" s="378">
        <v>5991041.0815415811</v>
      </c>
      <c r="J74" s="378">
        <v>6060111.5220704982</v>
      </c>
      <c r="K74" s="378">
        <v>6129061.6666451646</v>
      </c>
      <c r="L74" s="378">
        <v>6197893.4975431645</v>
      </c>
      <c r="M74" s="378">
        <v>6266681.9058644976</v>
      </c>
      <c r="N74" s="378">
        <v>6335439.2189083314</v>
      </c>
      <c r="O74" s="378">
        <v>6405099.1238919143</v>
      </c>
      <c r="P74" s="378">
        <v>6478444.7516734973</v>
      </c>
      <c r="Q74" s="378">
        <v>6548703.5719031636</v>
      </c>
      <c r="R74" s="378">
        <f t="shared" si="16"/>
        <v>6128547.6024830295</v>
      </c>
    </row>
    <row r="75" spans="1:63">
      <c r="B75" s="376"/>
      <c r="C75" s="376" t="s">
        <v>493</v>
      </c>
      <c r="D75" s="376"/>
      <c r="E75" s="378">
        <f>E73+E74</f>
        <v>23394769.655532833</v>
      </c>
      <c r="F75" s="378">
        <f t="shared" ref="F75:Q75" si="18">F73+F74</f>
        <v>23608496.18213588</v>
      </c>
      <c r="G75" s="378">
        <f t="shared" si="18"/>
        <v>23816228.572104633</v>
      </c>
      <c r="H75" s="378">
        <f t="shared" si="18"/>
        <v>24025126.660836931</v>
      </c>
      <c r="I75" s="378">
        <f t="shared" si="18"/>
        <v>24196230.14041958</v>
      </c>
      <c r="J75" s="378">
        <f t="shared" si="18"/>
        <v>23648417.555898998</v>
      </c>
      <c r="K75" s="378">
        <f t="shared" si="18"/>
        <v>23705099.143587265</v>
      </c>
      <c r="L75" s="378">
        <f t="shared" si="18"/>
        <v>23845312.050674863</v>
      </c>
      <c r="M75" s="378">
        <f t="shared" si="18"/>
        <v>24001696.7389962</v>
      </c>
      <c r="N75" s="378">
        <f t="shared" si="18"/>
        <v>24179936.503057931</v>
      </c>
      <c r="O75" s="378">
        <f t="shared" si="18"/>
        <v>24378079.447413117</v>
      </c>
      <c r="P75" s="378">
        <f t="shared" si="18"/>
        <v>24557637.004656795</v>
      </c>
      <c r="Q75" s="378">
        <f t="shared" si="18"/>
        <v>24493448.308550067</v>
      </c>
      <c r="R75" s="378">
        <f t="shared" si="16"/>
        <v>23988498.304912701</v>
      </c>
    </row>
    <row r="76" spans="1:63">
      <c r="B76" s="376"/>
      <c r="C76" s="376"/>
      <c r="D76" s="376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</row>
    <row r="77" spans="1:63">
      <c r="B77" s="376"/>
      <c r="C77" s="376" t="s">
        <v>494</v>
      </c>
      <c r="D77" s="376"/>
      <c r="E77" s="378">
        <v>2261649.1800000002</v>
      </c>
      <c r="F77" s="378">
        <v>2295356.4500000002</v>
      </c>
      <c r="G77" s="378">
        <v>2329061.63</v>
      </c>
      <c r="H77" s="378">
        <v>2362867.02</v>
      </c>
      <c r="I77" s="378">
        <v>2396772.4700000002</v>
      </c>
      <c r="J77" s="378">
        <v>2430580.9700000002</v>
      </c>
      <c r="K77" s="378">
        <v>2449308.36</v>
      </c>
      <c r="L77" s="378">
        <v>2482942.1100000003</v>
      </c>
      <c r="M77" s="378">
        <v>2516575.8600000003</v>
      </c>
      <c r="N77" s="378">
        <v>2550209.61</v>
      </c>
      <c r="O77" s="378">
        <v>2583843.3600000003</v>
      </c>
      <c r="P77" s="378">
        <v>2617534.7999999998</v>
      </c>
      <c r="Q77" s="378">
        <v>2450694.38</v>
      </c>
      <c r="R77" s="378">
        <f t="shared" si="16"/>
        <v>2440568.9384615384</v>
      </c>
    </row>
    <row r="78" spans="1:63">
      <c r="B78" s="376"/>
      <c r="C78" s="376" t="s">
        <v>495</v>
      </c>
      <c r="D78" s="376"/>
      <c r="E78" s="378">
        <v>1113663.0662161668</v>
      </c>
      <c r="F78" s="378">
        <v>1125196.3102913336</v>
      </c>
      <c r="G78" s="378">
        <v>1136729.5543665003</v>
      </c>
      <c r="H78" s="378">
        <v>1148339.3647549171</v>
      </c>
      <c r="I78" s="378">
        <v>1159949.0508500838</v>
      </c>
      <c r="J78" s="378">
        <v>1171484.7905630837</v>
      </c>
      <c r="K78" s="378">
        <v>1182996.7422765838</v>
      </c>
      <c r="L78" s="378">
        <v>1194508.6939900839</v>
      </c>
      <c r="M78" s="378">
        <v>1206020.645703584</v>
      </c>
      <c r="N78" s="378">
        <v>1217532.597417084</v>
      </c>
      <c r="O78" s="378">
        <v>1229044.5491305841</v>
      </c>
      <c r="P78" s="378">
        <v>1240598.7189906675</v>
      </c>
      <c r="Q78" s="378">
        <v>1251834.2412746674</v>
      </c>
      <c r="R78" s="378">
        <f t="shared" si="16"/>
        <v>1182915.2558327185</v>
      </c>
    </row>
    <row r="79" spans="1:63">
      <c r="B79" s="376"/>
      <c r="C79" s="376" t="s">
        <v>496</v>
      </c>
      <c r="D79" s="376"/>
      <c r="E79" s="378">
        <f t="shared" ref="E79:Q79" si="19">E77+E78</f>
        <v>3375312.2462161668</v>
      </c>
      <c r="F79" s="378">
        <f t="shared" si="19"/>
        <v>3420552.7602913338</v>
      </c>
      <c r="G79" s="378">
        <f t="shared" si="19"/>
        <v>3465791.1843665</v>
      </c>
      <c r="H79" s="378">
        <f t="shared" si="19"/>
        <v>3511206.3847549171</v>
      </c>
      <c r="I79" s="378">
        <f t="shared" si="19"/>
        <v>3556721.5208500838</v>
      </c>
      <c r="J79" s="378">
        <f t="shared" si="19"/>
        <v>3602065.7605630839</v>
      </c>
      <c r="K79" s="378">
        <f t="shared" si="19"/>
        <v>3632305.1022765837</v>
      </c>
      <c r="L79" s="378">
        <f t="shared" si="19"/>
        <v>3677450.8039900842</v>
      </c>
      <c r="M79" s="378">
        <f t="shared" si="19"/>
        <v>3722596.5057035843</v>
      </c>
      <c r="N79" s="378">
        <f t="shared" si="19"/>
        <v>3767742.2074170839</v>
      </c>
      <c r="O79" s="378">
        <f t="shared" si="19"/>
        <v>3812887.9091305844</v>
      </c>
      <c r="P79" s="378">
        <f t="shared" si="19"/>
        <v>3858133.5189906675</v>
      </c>
      <c r="Q79" s="378">
        <f t="shared" si="19"/>
        <v>3702528.6212746673</v>
      </c>
      <c r="R79" s="378">
        <f t="shared" si="16"/>
        <v>3623484.1942942566</v>
      </c>
    </row>
    <row r="80" spans="1:63">
      <c r="B80" s="376"/>
      <c r="C80" s="376"/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</row>
  </sheetData>
  <mergeCells count="10">
    <mergeCell ref="X12:Y12"/>
    <mergeCell ref="X11:Y11"/>
    <mergeCell ref="A4:I4"/>
    <mergeCell ref="A5:I5"/>
    <mergeCell ref="A7:I7"/>
    <mergeCell ref="J4:R4"/>
    <mergeCell ref="J5:R5"/>
    <mergeCell ref="J7:R7"/>
    <mergeCell ref="V11:W11"/>
    <mergeCell ref="V12:W12"/>
  </mergeCells>
  <phoneticPr fontId="21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CC"/>
    <pageSetUpPr fitToPage="1"/>
  </sheetPr>
  <dimension ref="A1:L206"/>
  <sheetViews>
    <sheetView zoomScaleNormal="100" workbookViewId="0"/>
  </sheetViews>
  <sheetFormatPr defaultColWidth="7.109375" defaultRowHeight="12.75"/>
  <cols>
    <col min="1" max="1" width="4.77734375" style="66" customWidth="1"/>
    <col min="2" max="2" width="15.6640625" style="66" customWidth="1"/>
    <col min="3" max="3" width="7.109375" style="66" customWidth="1"/>
    <col min="4" max="4" width="8.77734375" style="66" customWidth="1"/>
    <col min="5" max="5" width="7.88671875" style="66" customWidth="1"/>
    <col min="6" max="6" width="7.6640625" style="66" customWidth="1"/>
    <col min="7" max="7" width="10.33203125" style="66" customWidth="1"/>
    <col min="8" max="8" width="13" style="66" customWidth="1"/>
    <col min="9" max="9" width="11.77734375" style="66" customWidth="1"/>
    <col min="10" max="10" width="11.21875" style="66" customWidth="1"/>
    <col min="11" max="11" width="8" style="66" customWidth="1"/>
    <col min="12" max="16384" width="7.109375" style="66"/>
  </cols>
  <sheetData>
    <row r="1" spans="1:11">
      <c r="K1" s="60"/>
    </row>
    <row r="2" spans="1:11">
      <c r="B2" s="37"/>
      <c r="C2" s="38"/>
      <c r="D2" s="38"/>
      <c r="E2" s="38"/>
      <c r="F2" s="38"/>
      <c r="G2" s="38"/>
      <c r="H2" s="38"/>
      <c r="J2" s="318" t="str">
        <f>+'CU AC Rate Design - True-Up'!H1</f>
        <v>Date: May 31, 2018</v>
      </c>
    </row>
    <row r="3" spans="1:11" ht="15" customHeight="1">
      <c r="A3" s="384" t="s">
        <v>360</v>
      </c>
      <c r="B3" s="384"/>
      <c r="C3" s="384"/>
      <c r="D3" s="384"/>
      <c r="E3" s="384"/>
      <c r="F3" s="384"/>
      <c r="G3" s="384"/>
      <c r="H3" s="384"/>
      <c r="I3" s="384"/>
      <c r="J3" s="384"/>
    </row>
    <row r="4" spans="1:11" ht="15" customHeight="1">
      <c r="A4" s="384" t="s">
        <v>77</v>
      </c>
      <c r="B4" s="384"/>
      <c r="C4" s="384"/>
      <c r="D4" s="384"/>
      <c r="E4" s="384"/>
      <c r="F4" s="384"/>
      <c r="G4" s="384"/>
      <c r="H4" s="384"/>
      <c r="I4" s="384"/>
      <c r="J4" s="384"/>
    </row>
    <row r="5" spans="1:11">
      <c r="B5" s="37"/>
      <c r="C5" s="38"/>
      <c r="D5" s="61"/>
      <c r="E5" s="38"/>
      <c r="G5" s="38"/>
      <c r="H5" s="38"/>
      <c r="I5" s="38"/>
      <c r="J5" s="38"/>
    </row>
    <row r="6" spans="1:11" ht="18.75">
      <c r="A6" s="141" t="s">
        <v>196</v>
      </c>
      <c r="B6" s="37"/>
      <c r="C6" s="38"/>
      <c r="D6" s="396" t="s">
        <v>451</v>
      </c>
      <c r="E6" s="397"/>
      <c r="F6" s="397"/>
      <c r="G6" s="397"/>
      <c r="H6" s="398"/>
      <c r="I6" s="87"/>
      <c r="J6" s="87"/>
    </row>
    <row r="7" spans="1:11" ht="13.5" thickBot="1">
      <c r="A7" s="142" t="s">
        <v>197</v>
      </c>
      <c r="D7" s="119"/>
      <c r="E7" s="119"/>
      <c r="F7" s="119"/>
      <c r="G7" s="119"/>
      <c r="H7" s="119"/>
      <c r="I7" s="119"/>
      <c r="J7" s="119"/>
    </row>
    <row r="8" spans="1:11" ht="15">
      <c r="A8" s="139">
        <v>1</v>
      </c>
      <c r="B8" s="64"/>
      <c r="C8" s="65"/>
      <c r="D8" s="105" t="s">
        <v>69</v>
      </c>
      <c r="E8" s="91" t="s">
        <v>94</v>
      </c>
      <c r="F8" s="91" t="s">
        <v>95</v>
      </c>
      <c r="G8" s="92" t="s">
        <v>96</v>
      </c>
      <c r="H8" s="105" t="s">
        <v>139</v>
      </c>
      <c r="I8" s="105" t="s">
        <v>1</v>
      </c>
      <c r="J8" s="91" t="s">
        <v>326</v>
      </c>
      <c r="K8"/>
    </row>
    <row r="9" spans="1:11" ht="15">
      <c r="A9" s="139">
        <f>A8+1</f>
        <v>2</v>
      </c>
      <c r="B9" s="67"/>
      <c r="C9" s="68"/>
      <c r="D9" s="93" t="s">
        <v>326</v>
      </c>
      <c r="E9" s="93" t="s">
        <v>326</v>
      </c>
      <c r="F9" s="93" t="s">
        <v>97</v>
      </c>
      <c r="G9" s="94" t="s">
        <v>98</v>
      </c>
      <c r="H9" s="95" t="s">
        <v>140</v>
      </c>
      <c r="I9" s="95" t="s">
        <v>2</v>
      </c>
      <c r="J9" s="95" t="s">
        <v>109</v>
      </c>
      <c r="K9"/>
    </row>
    <row r="10" spans="1:11" ht="15.75" thickBot="1">
      <c r="A10" s="139">
        <f t="shared" ref="A10:A47" si="0">A9+1</f>
        <v>3</v>
      </c>
      <c r="B10" s="69"/>
      <c r="C10" s="70"/>
      <c r="D10" s="96" t="s">
        <v>99</v>
      </c>
      <c r="E10" s="93" t="s">
        <v>99</v>
      </c>
      <c r="F10" s="96" t="s">
        <v>99</v>
      </c>
      <c r="G10" s="97" t="s">
        <v>99</v>
      </c>
      <c r="H10" s="106" t="s">
        <v>99</v>
      </c>
      <c r="I10" s="106" t="s">
        <v>99</v>
      </c>
      <c r="J10" s="95" t="s">
        <v>110</v>
      </c>
      <c r="K10"/>
    </row>
    <row r="11" spans="1:11" ht="15">
      <c r="A11" s="139">
        <f t="shared" si="0"/>
        <v>4</v>
      </c>
      <c r="B11" s="107" t="s">
        <v>159</v>
      </c>
      <c r="C11" s="108"/>
      <c r="D11" s="342">
        <v>284</v>
      </c>
      <c r="E11" s="313">
        <v>383</v>
      </c>
      <c r="F11" s="343">
        <v>2</v>
      </c>
      <c r="G11" s="313">
        <v>56</v>
      </c>
      <c r="H11" s="92">
        <v>260</v>
      </c>
      <c r="I11" s="342">
        <v>80</v>
      </c>
      <c r="J11" s="313">
        <v>1065</v>
      </c>
      <c r="K11"/>
    </row>
    <row r="12" spans="1:11" ht="15">
      <c r="A12" s="139">
        <f t="shared" si="0"/>
        <v>5</v>
      </c>
      <c r="B12" s="107" t="s">
        <v>179</v>
      </c>
      <c r="C12" s="109"/>
      <c r="D12" s="344">
        <v>292</v>
      </c>
      <c r="E12" s="314">
        <v>352</v>
      </c>
      <c r="F12" s="345">
        <v>2</v>
      </c>
      <c r="G12" s="314">
        <v>52</v>
      </c>
      <c r="H12" s="94">
        <v>260</v>
      </c>
      <c r="I12" s="344">
        <v>80</v>
      </c>
      <c r="J12" s="314">
        <v>1038</v>
      </c>
      <c r="K12"/>
    </row>
    <row r="13" spans="1:11" ht="15">
      <c r="A13" s="139">
        <f t="shared" si="0"/>
        <v>6</v>
      </c>
      <c r="B13" s="107" t="s">
        <v>180</v>
      </c>
      <c r="C13" s="109"/>
      <c r="D13" s="344">
        <v>269</v>
      </c>
      <c r="E13" s="314">
        <v>327</v>
      </c>
      <c r="F13" s="345">
        <v>2</v>
      </c>
      <c r="G13" s="314">
        <v>47</v>
      </c>
      <c r="H13" s="94">
        <v>260</v>
      </c>
      <c r="I13" s="344">
        <v>80</v>
      </c>
      <c r="J13" s="314">
        <v>985</v>
      </c>
      <c r="K13"/>
    </row>
    <row r="14" spans="1:11" ht="15">
      <c r="A14" s="139">
        <f t="shared" si="0"/>
        <v>7</v>
      </c>
      <c r="B14" s="107" t="s">
        <v>190</v>
      </c>
      <c r="C14" s="109"/>
      <c r="D14" s="344">
        <v>250</v>
      </c>
      <c r="E14" s="314">
        <v>294</v>
      </c>
      <c r="F14" s="345">
        <v>3</v>
      </c>
      <c r="G14" s="314">
        <v>42</v>
      </c>
      <c r="H14" s="94">
        <v>260</v>
      </c>
      <c r="I14" s="344">
        <v>80</v>
      </c>
      <c r="J14" s="314">
        <v>929</v>
      </c>
      <c r="K14"/>
    </row>
    <row r="15" spans="1:11" ht="15">
      <c r="A15" s="139">
        <f t="shared" si="0"/>
        <v>8</v>
      </c>
      <c r="B15" s="107" t="s">
        <v>191</v>
      </c>
      <c r="C15" s="109"/>
      <c r="D15" s="344">
        <v>231</v>
      </c>
      <c r="E15" s="314">
        <v>253</v>
      </c>
      <c r="F15" s="345">
        <v>3</v>
      </c>
      <c r="G15" s="314">
        <v>39</v>
      </c>
      <c r="H15" s="94">
        <v>260</v>
      </c>
      <c r="I15" s="344">
        <v>80</v>
      </c>
      <c r="J15" s="314">
        <v>866</v>
      </c>
      <c r="K15"/>
    </row>
    <row r="16" spans="1:11" ht="15">
      <c r="A16" s="139">
        <f t="shared" si="0"/>
        <v>9</v>
      </c>
      <c r="B16" s="107" t="s">
        <v>192</v>
      </c>
      <c r="C16" s="109"/>
      <c r="D16" s="344">
        <v>317</v>
      </c>
      <c r="E16" s="314">
        <v>268</v>
      </c>
      <c r="F16" s="345">
        <v>3</v>
      </c>
      <c r="G16" s="314">
        <v>59</v>
      </c>
      <c r="H16" s="94">
        <v>260</v>
      </c>
      <c r="I16" s="344">
        <v>80</v>
      </c>
      <c r="J16" s="314">
        <v>987</v>
      </c>
      <c r="K16"/>
    </row>
    <row r="17" spans="1:12" ht="15">
      <c r="A17" s="139">
        <f t="shared" si="0"/>
        <v>10</v>
      </c>
      <c r="B17" s="107" t="s">
        <v>181</v>
      </c>
      <c r="C17" s="109"/>
      <c r="D17" s="344">
        <v>357</v>
      </c>
      <c r="E17" s="314">
        <v>304</v>
      </c>
      <c r="F17" s="345">
        <v>3</v>
      </c>
      <c r="G17" s="314">
        <v>76</v>
      </c>
      <c r="H17" s="94">
        <v>260</v>
      </c>
      <c r="I17" s="344">
        <v>80</v>
      </c>
      <c r="J17" s="314">
        <v>1080</v>
      </c>
      <c r="K17"/>
    </row>
    <row r="18" spans="1:12" ht="15">
      <c r="A18" s="139">
        <f t="shared" si="0"/>
        <v>11</v>
      </c>
      <c r="B18" s="107" t="s">
        <v>156</v>
      </c>
      <c r="C18" s="109"/>
      <c r="D18" s="344">
        <v>290</v>
      </c>
      <c r="E18" s="314">
        <v>270</v>
      </c>
      <c r="F18" s="345">
        <v>3</v>
      </c>
      <c r="G18" s="314">
        <v>55</v>
      </c>
      <c r="H18" s="94">
        <v>260</v>
      </c>
      <c r="I18" s="344">
        <v>80</v>
      </c>
      <c r="J18" s="314">
        <v>958</v>
      </c>
      <c r="K18"/>
    </row>
    <row r="19" spans="1:12" ht="15">
      <c r="A19" s="139">
        <f t="shared" si="0"/>
        <v>12</v>
      </c>
      <c r="B19" s="107" t="s">
        <v>182</v>
      </c>
      <c r="C19" s="109"/>
      <c r="D19" s="344">
        <v>307</v>
      </c>
      <c r="E19" s="314">
        <v>273</v>
      </c>
      <c r="F19" s="345">
        <v>4</v>
      </c>
      <c r="G19" s="314">
        <v>66</v>
      </c>
      <c r="H19" s="94">
        <v>260</v>
      </c>
      <c r="I19" s="344">
        <v>80</v>
      </c>
      <c r="J19" s="314">
        <v>990</v>
      </c>
      <c r="K19"/>
    </row>
    <row r="20" spans="1:12" ht="15">
      <c r="A20" s="139">
        <f t="shared" si="0"/>
        <v>13</v>
      </c>
      <c r="B20" s="107" t="s">
        <v>157</v>
      </c>
      <c r="C20" s="109"/>
      <c r="D20" s="344">
        <v>227</v>
      </c>
      <c r="E20" s="314">
        <v>260</v>
      </c>
      <c r="F20" s="345">
        <v>3</v>
      </c>
      <c r="G20" s="314">
        <v>38</v>
      </c>
      <c r="H20" s="94">
        <v>260</v>
      </c>
      <c r="I20" s="344">
        <v>80</v>
      </c>
      <c r="J20" s="314">
        <v>868</v>
      </c>
      <c r="K20"/>
    </row>
    <row r="21" spans="1:12" ht="15">
      <c r="A21" s="139">
        <f t="shared" si="0"/>
        <v>14</v>
      </c>
      <c r="B21" s="107" t="s">
        <v>158</v>
      </c>
      <c r="C21" s="109"/>
      <c r="D21" s="344">
        <v>223</v>
      </c>
      <c r="E21" s="314">
        <v>320</v>
      </c>
      <c r="F21" s="345">
        <v>2</v>
      </c>
      <c r="G21" s="314">
        <v>38</v>
      </c>
      <c r="H21" s="94">
        <v>260</v>
      </c>
      <c r="I21" s="344">
        <v>80</v>
      </c>
      <c r="J21" s="314">
        <v>923</v>
      </c>
      <c r="K21"/>
    </row>
    <row r="22" spans="1:12" ht="15.75" thickBot="1">
      <c r="A22" s="139">
        <f t="shared" si="0"/>
        <v>15</v>
      </c>
      <c r="B22" s="110" t="s">
        <v>183</v>
      </c>
      <c r="C22" s="111"/>
      <c r="D22" s="346">
        <v>295</v>
      </c>
      <c r="E22" s="315">
        <v>348</v>
      </c>
      <c r="F22" s="347">
        <v>2</v>
      </c>
      <c r="G22" s="315">
        <v>52</v>
      </c>
      <c r="H22" s="347">
        <v>260</v>
      </c>
      <c r="I22" s="346">
        <v>80</v>
      </c>
      <c r="J22" s="315">
        <v>1037</v>
      </c>
      <c r="K22"/>
    </row>
    <row r="23" spans="1:12" ht="15.75" thickBot="1">
      <c r="A23" s="139">
        <f t="shared" si="0"/>
        <v>16</v>
      </c>
      <c r="B23" s="72"/>
      <c r="C23" s="71"/>
      <c r="D23" s="98"/>
      <c r="E23" s="98"/>
      <c r="F23" s="98"/>
      <c r="G23" s="93"/>
      <c r="H23" s="94"/>
      <c r="I23" s="96"/>
      <c r="J23" s="98"/>
      <c r="K23"/>
    </row>
    <row r="24" spans="1:12" ht="15.75" thickBot="1">
      <c r="A24" s="139">
        <f t="shared" si="0"/>
        <v>17</v>
      </c>
      <c r="B24" s="76" t="s">
        <v>118</v>
      </c>
      <c r="C24" s="73"/>
      <c r="D24" s="99">
        <v>278.5</v>
      </c>
      <c r="E24" s="99">
        <v>304.33333333333331</v>
      </c>
      <c r="F24" s="99">
        <v>2.6666666666666665</v>
      </c>
      <c r="G24" s="99">
        <v>51.666666666666664</v>
      </c>
      <c r="H24" s="99">
        <v>260</v>
      </c>
      <c r="I24" s="99">
        <v>80</v>
      </c>
      <c r="J24" s="99">
        <v>977.16666666666663</v>
      </c>
      <c r="K24"/>
    </row>
    <row r="25" spans="1:12">
      <c r="A25" s="139">
        <f t="shared" si="0"/>
        <v>18</v>
      </c>
      <c r="D25" s="291"/>
      <c r="E25" s="291"/>
      <c r="F25" s="291"/>
      <c r="G25" s="291"/>
      <c r="H25" s="291"/>
    </row>
    <row r="26" spans="1:12" ht="18.75">
      <c r="A26" s="139">
        <f t="shared" si="0"/>
        <v>19</v>
      </c>
      <c r="B26" s="37"/>
      <c r="C26" s="38"/>
      <c r="D26" s="396" t="s">
        <v>452</v>
      </c>
      <c r="E26" s="397"/>
      <c r="F26" s="397"/>
      <c r="G26" s="397"/>
      <c r="H26" s="398"/>
      <c r="I26" s="38"/>
    </row>
    <row r="27" spans="1:12" ht="13.5" thickBot="1">
      <c r="A27" s="139">
        <f t="shared" si="0"/>
        <v>20</v>
      </c>
      <c r="D27" s="291"/>
      <c r="E27" s="291"/>
      <c r="F27" s="291"/>
      <c r="G27" s="291"/>
      <c r="H27" s="291"/>
    </row>
    <row r="28" spans="1:12">
      <c r="A28" s="139">
        <f t="shared" si="0"/>
        <v>21</v>
      </c>
      <c r="B28" s="64"/>
      <c r="C28" s="65"/>
      <c r="D28" s="292" t="s">
        <v>69</v>
      </c>
      <c r="E28" s="240" t="s">
        <v>94</v>
      </c>
      <c r="F28" s="240" t="s">
        <v>95</v>
      </c>
      <c r="G28" s="289" t="s">
        <v>96</v>
      </c>
      <c r="H28" s="292" t="s">
        <v>139</v>
      </c>
      <c r="I28" s="105" t="s">
        <v>1</v>
      </c>
      <c r="J28" s="91" t="s">
        <v>326</v>
      </c>
    </row>
    <row r="29" spans="1:12">
      <c r="A29" s="139">
        <f t="shared" si="0"/>
        <v>22</v>
      </c>
      <c r="B29" s="67"/>
      <c r="C29" s="68"/>
      <c r="D29" s="241" t="s">
        <v>326</v>
      </c>
      <c r="E29" s="241" t="s">
        <v>326</v>
      </c>
      <c r="F29" s="241" t="s">
        <v>97</v>
      </c>
      <c r="G29" s="290" t="s">
        <v>98</v>
      </c>
      <c r="H29" s="293" t="s">
        <v>140</v>
      </c>
      <c r="I29" s="95" t="s">
        <v>2</v>
      </c>
      <c r="J29" s="95" t="s">
        <v>109</v>
      </c>
    </row>
    <row r="30" spans="1:12" ht="13.5" thickBot="1">
      <c r="A30" s="139">
        <f t="shared" si="0"/>
        <v>23</v>
      </c>
      <c r="B30" s="69"/>
      <c r="C30" s="70"/>
      <c r="D30" s="242" t="s">
        <v>99</v>
      </c>
      <c r="E30" s="241" t="s">
        <v>99</v>
      </c>
      <c r="F30" s="242" t="s">
        <v>99</v>
      </c>
      <c r="G30" s="294" t="s">
        <v>99</v>
      </c>
      <c r="H30" s="295" t="s">
        <v>99</v>
      </c>
      <c r="I30" s="106" t="s">
        <v>99</v>
      </c>
      <c r="J30" s="106" t="s">
        <v>110</v>
      </c>
    </row>
    <row r="31" spans="1:12">
      <c r="A31" s="139">
        <f t="shared" si="0"/>
        <v>24</v>
      </c>
      <c r="B31" s="107" t="s">
        <v>159</v>
      </c>
      <c r="C31" s="108"/>
      <c r="D31" s="342">
        <v>302</v>
      </c>
      <c r="E31" s="313">
        <v>329.8</v>
      </c>
      <c r="F31" s="343">
        <v>2</v>
      </c>
      <c r="G31" s="91">
        <v>58</v>
      </c>
      <c r="H31" s="92">
        <v>260</v>
      </c>
      <c r="I31" s="342">
        <v>80</v>
      </c>
      <c r="J31" s="313">
        <v>1031.8</v>
      </c>
      <c r="K31" s="71"/>
      <c r="L31" s="78"/>
    </row>
    <row r="32" spans="1:12">
      <c r="A32" s="139">
        <f t="shared" si="0"/>
        <v>25</v>
      </c>
      <c r="B32" s="107" t="s">
        <v>179</v>
      </c>
      <c r="C32" s="109"/>
      <c r="D32" s="344">
        <v>290.8</v>
      </c>
      <c r="E32" s="314">
        <v>332.9</v>
      </c>
      <c r="F32" s="345">
        <v>2</v>
      </c>
      <c r="G32" s="93">
        <v>54.7</v>
      </c>
      <c r="H32" s="94">
        <v>260</v>
      </c>
      <c r="I32" s="344">
        <v>80</v>
      </c>
      <c r="J32" s="314">
        <v>1020.4000000000001</v>
      </c>
      <c r="K32" s="71"/>
    </row>
    <row r="33" spans="1:11">
      <c r="A33" s="139">
        <f t="shared" si="0"/>
        <v>26</v>
      </c>
      <c r="B33" s="107" t="s">
        <v>180</v>
      </c>
      <c r="C33" s="109"/>
      <c r="D33" s="344">
        <v>272.10000000000002</v>
      </c>
      <c r="E33" s="314">
        <v>329.4</v>
      </c>
      <c r="F33" s="345">
        <v>2</v>
      </c>
      <c r="G33" s="93">
        <v>48.3</v>
      </c>
      <c r="H33" s="94">
        <v>260</v>
      </c>
      <c r="I33" s="344">
        <v>80</v>
      </c>
      <c r="J33" s="314">
        <v>991.8</v>
      </c>
      <c r="K33" s="71"/>
    </row>
    <row r="34" spans="1:11">
      <c r="A34" s="139">
        <f t="shared" si="0"/>
        <v>27</v>
      </c>
      <c r="B34" s="107" t="s">
        <v>190</v>
      </c>
      <c r="C34" s="109"/>
      <c r="D34" s="344">
        <v>237.5</v>
      </c>
      <c r="E34" s="314">
        <v>286.89999999999998</v>
      </c>
      <c r="F34" s="345">
        <v>3</v>
      </c>
      <c r="G34" s="93">
        <v>39.299999999999997</v>
      </c>
      <c r="H34" s="94">
        <v>260</v>
      </c>
      <c r="I34" s="344">
        <v>80</v>
      </c>
      <c r="J34" s="314">
        <v>906.69999999999993</v>
      </c>
      <c r="K34" s="71"/>
    </row>
    <row r="35" spans="1:11">
      <c r="A35" s="139">
        <f t="shared" si="0"/>
        <v>28</v>
      </c>
      <c r="B35" s="107" t="s">
        <v>191</v>
      </c>
      <c r="C35" s="109"/>
      <c r="D35" s="344">
        <v>253.5</v>
      </c>
      <c r="E35" s="314">
        <v>267.60000000000002</v>
      </c>
      <c r="F35" s="345">
        <v>3</v>
      </c>
      <c r="G35" s="93">
        <v>40.700000000000003</v>
      </c>
      <c r="H35" s="94">
        <v>260</v>
      </c>
      <c r="I35" s="344">
        <v>80</v>
      </c>
      <c r="J35" s="314">
        <v>904.80000000000007</v>
      </c>
      <c r="K35" s="71"/>
    </row>
    <row r="36" spans="1:11">
      <c r="A36" s="139">
        <f t="shared" si="0"/>
        <v>29</v>
      </c>
      <c r="B36" s="107" t="s">
        <v>192</v>
      </c>
      <c r="C36" s="109"/>
      <c r="D36" s="344">
        <v>283.3</v>
      </c>
      <c r="E36" s="314">
        <v>267.39999999999998</v>
      </c>
      <c r="F36" s="345">
        <v>3</v>
      </c>
      <c r="G36" s="93">
        <v>51.7</v>
      </c>
      <c r="H36" s="94">
        <v>260</v>
      </c>
      <c r="I36" s="344">
        <v>80</v>
      </c>
      <c r="J36" s="314">
        <v>945.40000000000009</v>
      </c>
      <c r="K36" s="71"/>
    </row>
    <row r="37" spans="1:11">
      <c r="A37" s="139">
        <f t="shared" si="0"/>
        <v>30</v>
      </c>
      <c r="B37" s="107" t="s">
        <v>181</v>
      </c>
      <c r="C37" s="109"/>
      <c r="D37" s="344">
        <v>339</v>
      </c>
      <c r="E37" s="314">
        <v>290.3</v>
      </c>
      <c r="F37" s="345">
        <v>4</v>
      </c>
      <c r="G37" s="93">
        <v>64</v>
      </c>
      <c r="H37" s="94">
        <v>260</v>
      </c>
      <c r="I37" s="344">
        <v>80</v>
      </c>
      <c r="J37" s="314">
        <v>1037.3</v>
      </c>
      <c r="K37" s="71"/>
    </row>
    <row r="38" spans="1:11">
      <c r="A38" s="139">
        <f t="shared" si="0"/>
        <v>31</v>
      </c>
      <c r="B38" s="107" t="s">
        <v>156</v>
      </c>
      <c r="C38" s="109"/>
      <c r="D38" s="344">
        <v>328.3</v>
      </c>
      <c r="E38" s="314">
        <v>289.39999999999998</v>
      </c>
      <c r="F38" s="345">
        <v>4</v>
      </c>
      <c r="G38" s="93">
        <v>62.5</v>
      </c>
      <c r="H38" s="94">
        <v>260</v>
      </c>
      <c r="I38" s="344">
        <v>80</v>
      </c>
      <c r="J38" s="314">
        <v>1024.2</v>
      </c>
      <c r="K38" s="71"/>
    </row>
    <row r="39" spans="1:11">
      <c r="A39" s="139">
        <f t="shared" si="0"/>
        <v>32</v>
      </c>
      <c r="B39" s="107" t="s">
        <v>182</v>
      </c>
      <c r="C39" s="109"/>
      <c r="D39" s="344">
        <v>311.5</v>
      </c>
      <c r="E39" s="314">
        <v>282.89999999999998</v>
      </c>
      <c r="F39" s="345">
        <v>4</v>
      </c>
      <c r="G39" s="93">
        <v>61</v>
      </c>
      <c r="H39" s="94">
        <v>260</v>
      </c>
      <c r="I39" s="344">
        <v>80</v>
      </c>
      <c r="J39" s="314">
        <v>999.4</v>
      </c>
      <c r="K39" s="71"/>
    </row>
    <row r="40" spans="1:11">
      <c r="A40" s="139">
        <f t="shared" si="0"/>
        <v>33</v>
      </c>
      <c r="B40" s="107" t="s">
        <v>157</v>
      </c>
      <c r="C40" s="109"/>
      <c r="D40" s="344">
        <v>250.9</v>
      </c>
      <c r="E40" s="314">
        <v>293.3</v>
      </c>
      <c r="F40" s="345">
        <v>3</v>
      </c>
      <c r="G40" s="93">
        <v>39</v>
      </c>
      <c r="H40" s="94">
        <v>260</v>
      </c>
      <c r="I40" s="344">
        <v>80</v>
      </c>
      <c r="J40" s="314">
        <v>926.2</v>
      </c>
      <c r="K40" s="71"/>
    </row>
    <row r="41" spans="1:11">
      <c r="A41" s="139">
        <f t="shared" si="0"/>
        <v>34</v>
      </c>
      <c r="B41" s="107" t="s">
        <v>158</v>
      </c>
      <c r="C41" s="109"/>
      <c r="D41" s="344">
        <v>278.39999999999998</v>
      </c>
      <c r="E41" s="314">
        <v>318.2</v>
      </c>
      <c r="F41" s="345">
        <v>2</v>
      </c>
      <c r="G41" s="93">
        <v>52.5</v>
      </c>
      <c r="H41" s="94">
        <v>260</v>
      </c>
      <c r="I41" s="344">
        <v>80</v>
      </c>
      <c r="J41" s="314">
        <v>991.09999999999991</v>
      </c>
      <c r="K41" s="71"/>
    </row>
    <row r="42" spans="1:11" ht="13.5" thickBot="1">
      <c r="A42" s="139">
        <f t="shared" si="0"/>
        <v>35</v>
      </c>
      <c r="B42" s="110" t="s">
        <v>183</v>
      </c>
      <c r="C42" s="111"/>
      <c r="D42" s="346">
        <v>302.89999999999998</v>
      </c>
      <c r="E42" s="315">
        <v>334.6</v>
      </c>
      <c r="F42" s="347">
        <v>2</v>
      </c>
      <c r="G42" s="96">
        <v>58.5</v>
      </c>
      <c r="H42" s="347">
        <v>260</v>
      </c>
      <c r="I42" s="346">
        <v>80</v>
      </c>
      <c r="J42" s="315">
        <v>1038</v>
      </c>
      <c r="K42" s="71"/>
    </row>
    <row r="43" spans="1:11" ht="13.5" thickBot="1">
      <c r="A43" s="139">
        <f t="shared" si="0"/>
        <v>36</v>
      </c>
      <c r="B43" s="72"/>
      <c r="C43" s="71"/>
      <c r="D43" s="98"/>
      <c r="E43" s="98"/>
      <c r="F43" s="98"/>
      <c r="G43" s="93"/>
      <c r="H43" s="94"/>
      <c r="I43" s="96"/>
      <c r="J43" s="316"/>
      <c r="K43" s="71"/>
    </row>
    <row r="44" spans="1:11" ht="13.5" thickBot="1">
      <c r="A44" s="139">
        <f t="shared" si="0"/>
        <v>37</v>
      </c>
      <c r="B44" s="76" t="s">
        <v>118</v>
      </c>
      <c r="C44" s="73"/>
      <c r="D44" s="99">
        <v>287.51666666666671</v>
      </c>
      <c r="E44" s="99">
        <v>301.89166666666671</v>
      </c>
      <c r="F44" s="99">
        <v>2.8333333333333335</v>
      </c>
      <c r="G44" s="99">
        <v>52.516666666666673</v>
      </c>
      <c r="H44" s="99">
        <v>260</v>
      </c>
      <c r="I44" s="99">
        <v>80</v>
      </c>
      <c r="J44" s="99">
        <v>984.75833333333333</v>
      </c>
      <c r="K44" s="297"/>
    </row>
    <row r="45" spans="1:11">
      <c r="A45" s="139">
        <f t="shared" si="0"/>
        <v>38</v>
      </c>
    </row>
    <row r="46" spans="1:11">
      <c r="A46" s="139">
        <f t="shared" si="0"/>
        <v>39</v>
      </c>
      <c r="B46" s="80" t="s">
        <v>411</v>
      </c>
      <c r="C46" s="78"/>
      <c r="D46" s="74"/>
      <c r="E46" s="74"/>
      <c r="F46" s="74"/>
      <c r="G46" s="175"/>
      <c r="H46" s="175"/>
      <c r="I46" s="75"/>
    </row>
    <row r="47" spans="1:11">
      <c r="A47" s="139">
        <f t="shared" si="0"/>
        <v>40</v>
      </c>
      <c r="B47" s="80" t="s">
        <v>412</v>
      </c>
      <c r="C47" s="78"/>
      <c r="G47" s="175"/>
    </row>
    <row r="48" spans="1:11">
      <c r="A48" s="139"/>
      <c r="B48" s="80"/>
      <c r="D48" s="77"/>
      <c r="E48" s="77"/>
    </row>
    <row r="49" spans="1:7">
      <c r="A49" s="139"/>
      <c r="B49" s="118"/>
      <c r="C49" s="119"/>
      <c r="D49" s="120"/>
      <c r="E49" s="120"/>
      <c r="F49" s="119"/>
      <c r="G49" s="119"/>
    </row>
    <row r="50" spans="1:7">
      <c r="A50" s="139"/>
      <c r="B50" s="77"/>
      <c r="C50" s="77"/>
      <c r="D50" s="77"/>
      <c r="E50" s="77"/>
    </row>
    <row r="51" spans="1:7">
      <c r="A51" s="139"/>
      <c r="B51" s="77"/>
      <c r="C51" s="77"/>
      <c r="D51" s="77"/>
      <c r="E51" s="77"/>
    </row>
    <row r="52" spans="1:7">
      <c r="B52" s="77"/>
      <c r="C52" s="77"/>
      <c r="D52" s="77"/>
      <c r="E52" s="77"/>
    </row>
    <row r="53" spans="1:7">
      <c r="B53" s="77"/>
      <c r="C53" s="77"/>
      <c r="D53" s="77"/>
      <c r="E53" s="77"/>
    </row>
    <row r="54" spans="1:7">
      <c r="B54" s="77"/>
      <c r="C54" s="77"/>
      <c r="D54" s="77"/>
      <c r="E54" s="77"/>
    </row>
    <row r="55" spans="1:7">
      <c r="B55" s="77"/>
      <c r="C55" s="77"/>
      <c r="D55" s="77"/>
      <c r="E55" s="77"/>
    </row>
    <row r="56" spans="1:7">
      <c r="B56" s="77"/>
      <c r="C56" s="77"/>
      <c r="D56" s="77"/>
      <c r="E56" s="77"/>
    </row>
    <row r="57" spans="1:7">
      <c r="B57" s="77"/>
      <c r="C57" s="77"/>
      <c r="D57" s="77"/>
      <c r="E57" s="77"/>
    </row>
    <row r="58" spans="1:7">
      <c r="B58" s="77"/>
      <c r="C58" s="77"/>
      <c r="D58" s="77"/>
      <c r="E58" s="77"/>
    </row>
    <row r="59" spans="1:7">
      <c r="B59" s="79"/>
      <c r="C59" s="79"/>
      <c r="D59" s="79"/>
      <c r="E59" s="79"/>
    </row>
    <row r="114" spans="8:10">
      <c r="H114" s="66" t="s">
        <v>200</v>
      </c>
      <c r="I114" s="66">
        <f>+K183</f>
        <v>0</v>
      </c>
    </row>
    <row r="115" spans="8:10">
      <c r="I115" s="66">
        <f>+I114</f>
        <v>0</v>
      </c>
    </row>
    <row r="128" spans="8:10">
      <c r="I128" s="66">
        <f>+I6</f>
        <v>0</v>
      </c>
      <c r="J128" s="66">
        <f>+J6</f>
        <v>0</v>
      </c>
    </row>
    <row r="206" spans="9:10">
      <c r="I206" s="66">
        <f>I6</f>
        <v>0</v>
      </c>
      <c r="J206" s="66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R120"/>
  <sheetViews>
    <sheetView zoomScaleNormal="100" zoomScalePageLayoutView="125" workbookViewId="0">
      <selection activeCell="D11" sqref="D11:D20"/>
    </sheetView>
  </sheetViews>
  <sheetFormatPr defaultColWidth="8.5546875" defaultRowHeight="11.25"/>
  <cols>
    <col min="1" max="1" width="3.77734375" style="21" customWidth="1"/>
    <col min="2" max="2" width="18.44140625" style="21" customWidth="1"/>
    <col min="3" max="3" width="11.77734375" style="21" customWidth="1"/>
    <col min="4" max="4" width="10.109375" style="21" customWidth="1"/>
    <col min="5" max="5" width="0.88671875" style="21" customWidth="1"/>
    <col min="6" max="6" width="10.109375" style="21" customWidth="1"/>
    <col min="7" max="7" width="8.5546875" style="21" customWidth="1"/>
    <col min="8" max="8" width="8" style="21" customWidth="1"/>
    <col min="9" max="12" width="8.5546875" style="21"/>
    <col min="13" max="13" width="11.88671875" style="21" customWidth="1"/>
    <col min="14" max="16384" width="8.5546875" style="21"/>
  </cols>
  <sheetData>
    <row r="1" spans="1:10" ht="12.75">
      <c r="C1" s="22"/>
      <c r="H1" s="30" t="str">
        <f>'CU AC Rate Design - True-Up'!H1</f>
        <v>Date: May 31, 2018</v>
      </c>
      <c r="J1" s="59"/>
    </row>
    <row r="2" spans="1:10">
      <c r="C2" s="36"/>
      <c r="D2" s="36"/>
      <c r="H2" s="30" t="s">
        <v>479</v>
      </c>
    </row>
    <row r="3" spans="1:10" ht="12.75">
      <c r="B3" s="399"/>
      <c r="C3" s="399"/>
      <c r="D3" s="399"/>
      <c r="E3" s="399"/>
      <c r="F3" s="399"/>
      <c r="G3" s="399"/>
      <c r="H3" s="399"/>
      <c r="J3" s="59"/>
    </row>
    <row r="4" spans="1:10" ht="12.75">
      <c r="B4" s="35"/>
      <c r="C4" s="22"/>
    </row>
    <row r="5" spans="1:10" ht="12" customHeight="1">
      <c r="B5" s="101"/>
    </row>
    <row r="8" spans="1:10" ht="13.5" customHeight="1">
      <c r="A8" s="143" t="s">
        <v>196</v>
      </c>
      <c r="D8" s="26" t="s">
        <v>300</v>
      </c>
      <c r="F8" s="26" t="s">
        <v>248</v>
      </c>
      <c r="G8" s="26"/>
      <c r="H8" s="26" t="s">
        <v>301</v>
      </c>
    </row>
    <row r="9" spans="1:10" ht="13.5" customHeight="1">
      <c r="A9" s="27" t="s">
        <v>197</v>
      </c>
      <c r="B9" s="28" t="s">
        <v>322</v>
      </c>
      <c r="C9" s="27" t="s">
        <v>302</v>
      </c>
      <c r="D9" s="27" t="s">
        <v>198</v>
      </c>
      <c r="F9" s="27" t="s">
        <v>303</v>
      </c>
      <c r="G9" s="27" t="s">
        <v>199</v>
      </c>
      <c r="H9" s="27" t="s">
        <v>198</v>
      </c>
    </row>
    <row r="10" spans="1:10" ht="13.5" customHeight="1">
      <c r="G10" s="33"/>
    </row>
    <row r="11" spans="1:10">
      <c r="A11" s="26">
        <v>1</v>
      </c>
      <c r="B11" s="123" t="s">
        <v>437</v>
      </c>
      <c r="C11" s="21" t="s">
        <v>397</v>
      </c>
      <c r="D11" s="148">
        <v>2828114</v>
      </c>
      <c r="F11" s="26" t="s">
        <v>387</v>
      </c>
      <c r="G11" s="133">
        <v>1</v>
      </c>
      <c r="H11" s="148">
        <f>D11*G11</f>
        <v>2828114</v>
      </c>
    </row>
    <row r="12" spans="1:10">
      <c r="A12" s="26">
        <f>+A11+1</f>
        <v>2</v>
      </c>
      <c r="B12" s="123" t="s">
        <v>65</v>
      </c>
      <c r="C12" s="123" t="s">
        <v>399</v>
      </c>
      <c r="D12" s="148">
        <v>0</v>
      </c>
      <c r="E12" s="123"/>
      <c r="F12" s="132" t="s">
        <v>387</v>
      </c>
      <c r="G12" s="133">
        <f>+G11</f>
        <v>1</v>
      </c>
      <c r="H12" s="148">
        <f>D12*G12</f>
        <v>0</v>
      </c>
      <c r="I12" s="123"/>
    </row>
    <row r="13" spans="1:10">
      <c r="A13" s="26">
        <f t="shared" ref="A13:A34" si="0">+A12+1</f>
        <v>3</v>
      </c>
      <c r="B13" s="123" t="s">
        <v>66</v>
      </c>
      <c r="C13" s="123" t="s">
        <v>400</v>
      </c>
      <c r="D13" s="148">
        <v>2372</v>
      </c>
      <c r="E13" s="123"/>
      <c r="F13" s="132" t="s">
        <v>387</v>
      </c>
      <c r="G13" s="133">
        <f>+G12</f>
        <v>1</v>
      </c>
      <c r="H13" s="148">
        <f>D13*G13</f>
        <v>2372</v>
      </c>
      <c r="I13" s="123"/>
    </row>
    <row r="14" spans="1:10" ht="12" thickBot="1">
      <c r="A14" s="26">
        <f t="shared" si="0"/>
        <v>4</v>
      </c>
      <c r="B14" s="134" t="s">
        <v>325</v>
      </c>
      <c r="C14" s="135"/>
      <c r="D14" s="136">
        <f>+D11-D12-D13</f>
        <v>2825742</v>
      </c>
      <c r="E14" s="123"/>
      <c r="F14" s="123"/>
      <c r="G14" s="123"/>
      <c r="H14" s="137">
        <f>+H11-H12-H13</f>
        <v>2825742</v>
      </c>
      <c r="I14" s="123"/>
    </row>
    <row r="15" spans="1:10">
      <c r="A15" s="26">
        <f t="shared" si="0"/>
        <v>5</v>
      </c>
      <c r="B15" s="123"/>
      <c r="C15" s="123"/>
      <c r="D15" s="123"/>
      <c r="E15" s="123"/>
      <c r="F15" s="123"/>
      <c r="G15" s="123"/>
      <c r="H15" s="123"/>
      <c r="I15" s="123"/>
    </row>
    <row r="16" spans="1:10">
      <c r="A16" s="26">
        <f t="shared" si="0"/>
        <v>6</v>
      </c>
      <c r="B16" s="147" t="s">
        <v>436</v>
      </c>
      <c r="C16" s="123"/>
      <c r="D16" s="123"/>
      <c r="E16" s="123"/>
      <c r="F16" s="123"/>
      <c r="G16" s="123"/>
      <c r="H16" s="123"/>
      <c r="I16" s="123"/>
    </row>
    <row r="17" spans="1:9">
      <c r="A17" s="26">
        <f t="shared" si="0"/>
        <v>7</v>
      </c>
      <c r="B17" s="21" t="s">
        <v>304</v>
      </c>
      <c r="C17" s="21" t="s">
        <v>398</v>
      </c>
      <c r="D17" s="148">
        <v>3092752</v>
      </c>
      <c r="E17" s="123"/>
      <c r="F17" s="123"/>
      <c r="G17" s="123"/>
      <c r="H17" s="123"/>
      <c r="I17" s="123"/>
    </row>
    <row r="18" spans="1:9">
      <c r="A18" s="26">
        <f t="shared" si="0"/>
        <v>8</v>
      </c>
      <c r="B18" s="123" t="s">
        <v>65</v>
      </c>
      <c r="C18" s="123" t="s">
        <v>67</v>
      </c>
      <c r="D18" s="148">
        <v>19265</v>
      </c>
      <c r="E18" s="123"/>
      <c r="F18" s="329"/>
      <c r="G18" s="329"/>
      <c r="H18" s="123"/>
      <c r="I18" s="123"/>
    </row>
    <row r="19" spans="1:9">
      <c r="A19" s="26">
        <f t="shared" si="0"/>
        <v>9</v>
      </c>
      <c r="B19" s="123" t="s">
        <v>66</v>
      </c>
      <c r="C19" s="123" t="s">
        <v>68</v>
      </c>
      <c r="D19" s="148">
        <v>12611</v>
      </c>
      <c r="E19" s="123"/>
      <c r="F19" s="329"/>
      <c r="G19" s="329"/>
      <c r="H19" s="123"/>
      <c r="I19" s="123"/>
    </row>
    <row r="20" spans="1:9" ht="12" thickBot="1">
      <c r="A20" s="26">
        <f t="shared" si="0"/>
        <v>10</v>
      </c>
      <c r="B20" s="123"/>
      <c r="C20" s="123"/>
      <c r="D20" s="136">
        <f>+D17-D18-D19</f>
        <v>3060876</v>
      </c>
      <c r="E20" s="123"/>
      <c r="F20" s="329"/>
      <c r="G20" s="329"/>
      <c r="H20" s="123"/>
      <c r="I20" s="123"/>
    </row>
    <row r="21" spans="1:9">
      <c r="A21" s="26">
        <f t="shared" si="0"/>
        <v>11</v>
      </c>
      <c r="B21" s="123"/>
      <c r="C21" s="123"/>
      <c r="D21" s="149"/>
      <c r="E21" s="123"/>
      <c r="F21" s="329"/>
      <c r="G21" s="329"/>
      <c r="H21" s="123"/>
      <c r="I21" s="123"/>
    </row>
    <row r="22" spans="1:9">
      <c r="A22" s="26">
        <f t="shared" si="0"/>
        <v>12</v>
      </c>
      <c r="B22" s="123" t="str">
        <f>"True-up Amount to be (Refunded)/Paid (line "&amp;A20&amp;"-line "&amp;A14&amp;")"</f>
        <v>True-up Amount to be (Refunded)/Paid (line 10-line 4)</v>
      </c>
      <c r="C22" s="123"/>
      <c r="D22" s="149">
        <f>D20-D14</f>
        <v>235134</v>
      </c>
      <c r="E22" s="123"/>
      <c r="F22" s="329"/>
      <c r="G22" s="329"/>
      <c r="H22" s="123"/>
      <c r="I22" s="123"/>
    </row>
    <row r="23" spans="1:9">
      <c r="A23" s="26">
        <f t="shared" si="0"/>
        <v>13</v>
      </c>
      <c r="B23" s="123"/>
      <c r="C23" s="123"/>
      <c r="D23" s="123"/>
      <c r="E23" s="123"/>
      <c r="F23" s="329"/>
      <c r="G23" s="329"/>
      <c r="H23" s="123"/>
      <c r="I23" s="123"/>
    </row>
    <row r="24" spans="1:9">
      <c r="A24" s="26">
        <f t="shared" si="0"/>
        <v>14</v>
      </c>
      <c r="B24" s="123"/>
      <c r="C24" s="123"/>
      <c r="D24" s="123"/>
      <c r="E24" s="123"/>
      <c r="F24" s="123"/>
      <c r="G24" s="123"/>
      <c r="H24" s="123"/>
      <c r="I24" s="123"/>
    </row>
    <row r="25" spans="1:9">
      <c r="A25" s="26">
        <f t="shared" si="0"/>
        <v>15</v>
      </c>
      <c r="B25" s="138" t="s">
        <v>305</v>
      </c>
      <c r="C25" s="123"/>
      <c r="D25" s="123"/>
      <c r="E25" s="123"/>
      <c r="F25" s="123"/>
      <c r="G25" s="123"/>
      <c r="H25" s="123"/>
      <c r="I25" s="123"/>
    </row>
    <row r="26" spans="1:9">
      <c r="A26" s="26">
        <f t="shared" si="0"/>
        <v>16</v>
      </c>
    </row>
    <row r="27" spans="1:9" ht="12.75">
      <c r="A27" s="26">
        <f t="shared" si="0"/>
        <v>17</v>
      </c>
      <c r="B27" s="123" t="s">
        <v>306</v>
      </c>
      <c r="C27" s="123"/>
      <c r="D27" s="161">
        <f>D20</f>
        <v>3060876</v>
      </c>
    </row>
    <row r="28" spans="1:9" ht="12.75">
      <c r="A28" s="26">
        <f t="shared" si="0"/>
        <v>18</v>
      </c>
      <c r="B28" s="162" t="s">
        <v>307</v>
      </c>
      <c r="C28" s="123"/>
      <c r="D28" s="163">
        <f>'WP7 CU AC LOADS'!J24*1000</f>
        <v>977166.66666666663</v>
      </c>
      <c r="F28" s="29" t="s">
        <v>308</v>
      </c>
      <c r="G28" s="123" t="s">
        <v>474</v>
      </c>
      <c r="H28" s="123"/>
    </row>
    <row r="29" spans="1:9" ht="12">
      <c r="A29" s="26">
        <f t="shared" si="0"/>
        <v>19</v>
      </c>
      <c r="B29" s="123"/>
      <c r="C29" s="123"/>
      <c r="D29" s="123"/>
      <c r="F29" s="29"/>
      <c r="G29" s="123"/>
    </row>
    <row r="30" spans="1:9" ht="12.75">
      <c r="A30" s="26">
        <f t="shared" si="0"/>
        <v>20</v>
      </c>
      <c r="B30" s="164" t="s">
        <v>309</v>
      </c>
      <c r="C30" s="123"/>
      <c r="D30" s="165">
        <f>D27/D28</f>
        <v>3.1323991130820401</v>
      </c>
      <c r="E30" s="21" t="s">
        <v>310</v>
      </c>
      <c r="F30" s="31" t="s">
        <v>311</v>
      </c>
      <c r="G30" s="123" t="s">
        <v>14</v>
      </c>
    </row>
    <row r="31" spans="1:9" ht="12.75">
      <c r="A31" s="26">
        <f t="shared" si="0"/>
        <v>21</v>
      </c>
      <c r="B31" s="164" t="s">
        <v>312</v>
      </c>
      <c r="C31" s="123"/>
      <c r="D31" s="165">
        <f>D30/12</f>
        <v>0.26103325942350336</v>
      </c>
      <c r="E31" s="21" t="s">
        <v>310</v>
      </c>
      <c r="F31" s="31" t="s">
        <v>313</v>
      </c>
      <c r="G31" s="123" t="s">
        <v>15</v>
      </c>
    </row>
    <row r="32" spans="1:9" ht="12.75">
      <c r="A32" s="26">
        <f t="shared" si="0"/>
        <v>22</v>
      </c>
      <c r="B32" s="164" t="s">
        <v>314</v>
      </c>
      <c r="C32" s="123"/>
      <c r="D32" s="165">
        <f>D30/52</f>
        <v>6.0238444482346928E-2</v>
      </c>
      <c r="E32" s="21" t="s">
        <v>310</v>
      </c>
      <c r="F32" s="31" t="s">
        <v>315</v>
      </c>
      <c r="G32" s="123" t="s">
        <v>16</v>
      </c>
    </row>
    <row r="33" spans="1:8" ht="12.75">
      <c r="A33" s="26">
        <f t="shared" si="0"/>
        <v>23</v>
      </c>
      <c r="B33" s="164" t="s">
        <v>316</v>
      </c>
      <c r="C33" s="132" t="s">
        <v>323</v>
      </c>
      <c r="D33" s="165">
        <f>D30/365</f>
        <v>8.5819153783069594E-3</v>
      </c>
      <c r="E33" s="21" t="s">
        <v>310</v>
      </c>
      <c r="F33" s="31" t="s">
        <v>317</v>
      </c>
      <c r="G33" s="123" t="s">
        <v>17</v>
      </c>
    </row>
    <row r="34" spans="1:8" ht="12.75">
      <c r="A34" s="26">
        <f t="shared" si="0"/>
        <v>24</v>
      </c>
      <c r="B34" s="164" t="s">
        <v>318</v>
      </c>
      <c r="C34" s="132" t="s">
        <v>324</v>
      </c>
      <c r="D34" s="165">
        <f>(D30/8760)*1000</f>
        <v>0.35757980742945666</v>
      </c>
      <c r="E34" s="21" t="s">
        <v>310</v>
      </c>
      <c r="F34" s="31" t="s">
        <v>319</v>
      </c>
      <c r="G34" s="123" t="s">
        <v>18</v>
      </c>
    </row>
    <row r="35" spans="1:8">
      <c r="B35" s="30"/>
      <c r="G35" s="123"/>
    </row>
    <row r="36" spans="1:8">
      <c r="G36" s="123"/>
    </row>
    <row r="37" spans="1:8">
      <c r="G37" s="123"/>
    </row>
    <row r="42" spans="1:8" ht="10.5" customHeight="1"/>
    <row r="46" spans="1:8" ht="15.75">
      <c r="H46" s="23"/>
    </row>
    <row r="47" spans="1:8" ht="15">
      <c r="H47" s="25"/>
    </row>
    <row r="48" spans="1:8">
      <c r="H48" s="21" t="s">
        <v>194</v>
      </c>
    </row>
    <row r="52" spans="1:9" ht="14.25">
      <c r="C52" s="24"/>
    </row>
    <row r="53" spans="1:9" ht="14.25">
      <c r="C53" s="24"/>
    </row>
    <row r="54" spans="1:9" ht="14.25">
      <c r="C54" s="32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34"/>
      <c r="O92" s="34"/>
      <c r="P92" s="34"/>
      <c r="Q92" s="34"/>
      <c r="R92" s="34"/>
    </row>
    <row r="93" spans="1:18" ht="15">
      <c r="A93"/>
      <c r="B93"/>
      <c r="C93"/>
      <c r="D93"/>
      <c r="E93"/>
      <c r="F93"/>
      <c r="G93"/>
      <c r="H93"/>
      <c r="I93"/>
      <c r="J93" s="34"/>
    </row>
    <row r="94" spans="1:18" ht="15">
      <c r="A94"/>
      <c r="B94"/>
      <c r="C94"/>
      <c r="D94"/>
      <c r="E94"/>
      <c r="F94"/>
      <c r="G94"/>
      <c r="H94"/>
      <c r="I94"/>
      <c r="M94" s="34"/>
      <c r="O94" s="34"/>
      <c r="P94" s="34"/>
      <c r="Q94" s="34"/>
      <c r="R94" s="34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21" t="s">
        <v>200</v>
      </c>
      <c r="H119" s="21">
        <f>+J188</f>
        <v>0</v>
      </c>
    </row>
    <row r="120" spans="7:8">
      <c r="H120" s="21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2017-05-11T20:39:42Z</cp:lastPrinted>
  <dcterms:created xsi:type="dcterms:W3CDTF">1997-04-03T19:40:56Z</dcterms:created>
  <dcterms:modified xsi:type="dcterms:W3CDTF">2020-06-01T14:42:12Z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