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6563_20_BHBE 2019 Adjustments\Originals\"/>
    </mc:Choice>
  </mc:AlternateContent>
  <xr:revisionPtr revIDLastSave="0" documentId="8_{DC919424-AFA0-4BB9-9D58-781F8844C47F}" xr6:coauthVersionLast="44" xr6:coauthVersionMax="44" xr10:uidLastSave="{00000000-0000-0000-0000-000000000000}"/>
  <bookViews>
    <workbookView xWindow="-120" yWindow="-120" windowWidth="29040" windowHeight="15990" tabRatio="893" activeTab="1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35" l="1"/>
  <c r="Q30" i="37"/>
  <c r="P30" i="37"/>
  <c r="O30" i="37"/>
  <c r="N30" i="37"/>
  <c r="M30" i="37"/>
  <c r="M32" i="37"/>
  <c r="L30" i="37"/>
  <c r="K30" i="37"/>
  <c r="K32" i="37"/>
  <c r="J30" i="37"/>
  <c r="J32" i="37"/>
  <c r="I30" i="37"/>
  <c r="H30" i="37"/>
  <c r="G30" i="37"/>
  <c r="F30" i="37"/>
  <c r="E30" i="37"/>
  <c r="Q28" i="37"/>
  <c r="P28" i="37"/>
  <c r="P38" i="37"/>
  <c r="O28" i="37"/>
  <c r="N28" i="37"/>
  <c r="N32" i="37"/>
  <c r="M28" i="37"/>
  <c r="L28" i="37"/>
  <c r="K28" i="37"/>
  <c r="J28" i="37"/>
  <c r="I28" i="37"/>
  <c r="H28" i="37"/>
  <c r="H32" i="37"/>
  <c r="G28" i="37"/>
  <c r="F28" i="37"/>
  <c r="F32" i="37"/>
  <c r="E28" i="37"/>
  <c r="Q26" i="37"/>
  <c r="Q36" i="37"/>
  <c r="P26" i="37"/>
  <c r="O26" i="37"/>
  <c r="N26" i="37"/>
  <c r="M26" i="37"/>
  <c r="L26" i="37"/>
  <c r="K26" i="37"/>
  <c r="J26" i="37"/>
  <c r="I26" i="37"/>
  <c r="H26" i="37"/>
  <c r="G26" i="37"/>
  <c r="F26" i="37"/>
  <c r="F36" i="37"/>
  <c r="E26" i="37"/>
  <c r="F51" i="37"/>
  <c r="F56" i="37"/>
  <c r="E51" i="37"/>
  <c r="G51" i="37"/>
  <c r="E46" i="35"/>
  <c r="F55" i="37"/>
  <c r="G55" i="37"/>
  <c r="E55" i="37"/>
  <c r="E75" i="37"/>
  <c r="E79" i="37"/>
  <c r="L59" i="37"/>
  <c r="K59" i="37"/>
  <c r="L54" i="37"/>
  <c r="K54" i="37"/>
  <c r="Q79" i="37"/>
  <c r="P79" i="37"/>
  <c r="O79" i="37"/>
  <c r="N79" i="37"/>
  <c r="M79" i="37"/>
  <c r="L79" i="37"/>
  <c r="K79" i="37"/>
  <c r="J79" i="37"/>
  <c r="I79" i="37"/>
  <c r="H79" i="37"/>
  <c r="G79" i="37"/>
  <c r="F79" i="37"/>
  <c r="R79" i="37"/>
  <c r="R78" i="37"/>
  <c r="R77" i="37"/>
  <c r="Q75" i="37"/>
  <c r="P75" i="37"/>
  <c r="O75" i="37"/>
  <c r="N75" i="37"/>
  <c r="M75" i="37"/>
  <c r="L75" i="37"/>
  <c r="K75" i="37"/>
  <c r="J75" i="37"/>
  <c r="I75" i="37"/>
  <c r="H75" i="37"/>
  <c r="G75" i="37"/>
  <c r="F75" i="37"/>
  <c r="R74" i="37"/>
  <c r="R73" i="37"/>
  <c r="Q71" i="37"/>
  <c r="P71" i="37"/>
  <c r="O71" i="37"/>
  <c r="N71" i="37"/>
  <c r="M71" i="37"/>
  <c r="L71" i="37"/>
  <c r="K71" i="37"/>
  <c r="J71" i="37"/>
  <c r="I71" i="37"/>
  <c r="H71" i="37"/>
  <c r="G71" i="37"/>
  <c r="F71" i="37"/>
  <c r="E71" i="37"/>
  <c r="R70" i="37"/>
  <c r="R69" i="37"/>
  <c r="E95" i="35"/>
  <c r="E101" i="35"/>
  <c r="E85" i="35"/>
  <c r="E115" i="35"/>
  <c r="R29" i="37"/>
  <c r="G38" i="37"/>
  <c r="I38" i="37"/>
  <c r="O38" i="37"/>
  <c r="Q37" i="37"/>
  <c r="I36" i="37"/>
  <c r="H37" i="37"/>
  <c r="I37" i="37"/>
  <c r="J37" i="37"/>
  <c r="K37" i="37"/>
  <c r="L37" i="37"/>
  <c r="M37" i="37"/>
  <c r="N37" i="37"/>
  <c r="O37" i="37"/>
  <c r="P37" i="37"/>
  <c r="J184" i="35"/>
  <c r="H196" i="35"/>
  <c r="J196" i="35"/>
  <c r="J22" i="24"/>
  <c r="J21" i="24"/>
  <c r="J20" i="24"/>
  <c r="J19" i="24"/>
  <c r="J18" i="24"/>
  <c r="J17" i="24"/>
  <c r="J16" i="24"/>
  <c r="J15" i="24"/>
  <c r="J14" i="24"/>
  <c r="J13" i="24"/>
  <c r="J24" i="24"/>
  <c r="J12" i="24"/>
  <c r="J11" i="24"/>
  <c r="I24" i="24"/>
  <c r="H24" i="24"/>
  <c r="G24" i="24"/>
  <c r="F24" i="24"/>
  <c r="E24" i="24"/>
  <c r="D24" i="24"/>
  <c r="Q38" i="37"/>
  <c r="K38" i="37"/>
  <c r="J38" i="37"/>
  <c r="E41" i="37"/>
  <c r="E40" i="37"/>
  <c r="E39" i="37"/>
  <c r="E35" i="37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44" i="24"/>
  <c r="G37" i="37"/>
  <c r="R19" i="37"/>
  <c r="R22" i="37"/>
  <c r="G64" i="37"/>
  <c r="E59" i="35"/>
  <c r="N39" i="37"/>
  <c r="J39" i="37"/>
  <c r="O39" i="37"/>
  <c r="Q40" i="37"/>
  <c r="P40" i="37"/>
  <c r="O40" i="37"/>
  <c r="M40" i="37"/>
  <c r="K40" i="37"/>
  <c r="J40" i="37"/>
  <c r="I40" i="37"/>
  <c r="H40" i="37"/>
  <c r="G40" i="37"/>
  <c r="F40" i="37"/>
  <c r="P35" i="37"/>
  <c r="K35" i="37"/>
  <c r="L40" i="37"/>
  <c r="L42" i="37"/>
  <c r="J139" i="35"/>
  <c r="E56" i="37"/>
  <c r="O4" i="31"/>
  <c r="O3" i="31"/>
  <c r="J2" i="24"/>
  <c r="I206" i="24"/>
  <c r="J206" i="24"/>
  <c r="I128" i="24"/>
  <c r="J128" i="24"/>
  <c r="F14" i="41"/>
  <c r="F13" i="41"/>
  <c r="F12" i="41"/>
  <c r="I2" i="37"/>
  <c r="R2" i="37"/>
  <c r="H1" i="3"/>
  <c r="J63" i="35"/>
  <c r="K77" i="31"/>
  <c r="N53" i="31"/>
  <c r="M53" i="31"/>
  <c r="D20" i="3"/>
  <c r="D27" i="3"/>
  <c r="H31" i="35"/>
  <c r="R20" i="37"/>
  <c r="E20" i="35"/>
  <c r="H11" i="3"/>
  <c r="E105" i="35"/>
  <c r="G25" i="35"/>
  <c r="G45" i="35"/>
  <c r="G99" i="35"/>
  <c r="G80" i="35"/>
  <c r="G81" i="35"/>
  <c r="G82" i="35"/>
  <c r="A12" i="3"/>
  <c r="A13" i="3"/>
  <c r="A14" i="3"/>
  <c r="A15" i="3"/>
  <c r="A16" i="3"/>
  <c r="A17" i="3"/>
  <c r="A18" i="3"/>
  <c r="A19" i="3"/>
  <c r="A20" i="3"/>
  <c r="G12" i="3"/>
  <c r="G13" i="3"/>
  <c r="H13" i="3"/>
  <c r="D14" i="3"/>
  <c r="D22" i="3"/>
  <c r="N52" i="31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I114" i="24"/>
  <c r="I115" i="24"/>
  <c r="A16" i="37"/>
  <c r="A17" i="37"/>
  <c r="R21" i="37"/>
  <c r="E21" i="35"/>
  <c r="C25" i="37"/>
  <c r="C35" i="37"/>
  <c r="C28" i="37"/>
  <c r="C38" i="37"/>
  <c r="C30" i="37"/>
  <c r="C40" i="37"/>
  <c r="C31" i="37"/>
  <c r="C41" i="37"/>
  <c r="R31" i="37"/>
  <c r="E31" i="35"/>
  <c r="J31" i="35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E49" i="35"/>
  <c r="G58" i="37"/>
  <c r="E53" i="35"/>
  <c r="J53" i="35"/>
  <c r="G62" i="37"/>
  <c r="G63" i="37"/>
  <c r="E58" i="35"/>
  <c r="E65" i="37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E32" i="31"/>
  <c r="J193" i="35"/>
  <c r="E198" i="35"/>
  <c r="E199" i="35"/>
  <c r="F197" i="35"/>
  <c r="J197" i="35"/>
  <c r="J199" i="35"/>
  <c r="A16" i="35"/>
  <c r="E135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J79" i="35"/>
  <c r="J157" i="35"/>
  <c r="J122" i="35"/>
  <c r="H84" i="35"/>
  <c r="J84" i="35"/>
  <c r="A17" i="35"/>
  <c r="A18" i="35"/>
  <c r="J200" i="35"/>
  <c r="N40" i="37"/>
  <c r="G52" i="37"/>
  <c r="E47" i="35"/>
  <c r="G53" i="37"/>
  <c r="E48" i="35"/>
  <c r="P39" i="37"/>
  <c r="Q39" i="37"/>
  <c r="I39" i="37"/>
  <c r="M39" i="37"/>
  <c r="I35" i="37"/>
  <c r="K39" i="37"/>
  <c r="F35" i="37"/>
  <c r="R25" i="37"/>
  <c r="E25" i="35"/>
  <c r="H39" i="37"/>
  <c r="G39" i="37"/>
  <c r="M35" i="37"/>
  <c r="L35" i="37"/>
  <c r="Q35" i="37"/>
  <c r="L39" i="37"/>
  <c r="E57" i="35"/>
  <c r="F39" i="37"/>
  <c r="R30" i="37"/>
  <c r="R40" i="37"/>
  <c r="N35" i="37"/>
  <c r="R15" i="37"/>
  <c r="E15" i="35"/>
  <c r="E35" i="35"/>
  <c r="G35" i="37"/>
  <c r="O35" i="37"/>
  <c r="H35" i="37"/>
  <c r="J35" i="37"/>
  <c r="F65" i="37"/>
  <c r="A18" i="37"/>
  <c r="R41" i="37"/>
  <c r="G65" i="37"/>
  <c r="J21" i="35"/>
  <c r="R35" i="37"/>
  <c r="L38" i="37"/>
  <c r="E38" i="37"/>
  <c r="G22" i="37"/>
  <c r="F22" i="37"/>
  <c r="E37" i="37"/>
  <c r="M22" i="37"/>
  <c r="N22" i="37"/>
  <c r="K22" i="37"/>
  <c r="O22" i="37"/>
  <c r="E22" i="37"/>
  <c r="E36" i="37"/>
  <c r="H22" i="37"/>
  <c r="L22" i="37"/>
  <c r="P22" i="37"/>
  <c r="I22" i="37"/>
  <c r="J22" i="37"/>
  <c r="R18" i="37"/>
  <c r="E18" i="35"/>
  <c r="R39" i="37"/>
  <c r="R16" i="37"/>
  <c r="Q22" i="37"/>
  <c r="R17" i="37"/>
  <c r="E17" i="35"/>
  <c r="E16" i="35"/>
  <c r="L32" i="37"/>
  <c r="L36" i="37"/>
  <c r="H36" i="37"/>
  <c r="Q32" i="37"/>
  <c r="O32" i="37"/>
  <c r="O36" i="37"/>
  <c r="K36" i="37"/>
  <c r="F37" i="37"/>
  <c r="R27" i="37"/>
  <c r="M36" i="37"/>
  <c r="N36" i="37"/>
  <c r="J36" i="37"/>
  <c r="G32" i="37"/>
  <c r="G36" i="37"/>
  <c r="E41" i="35"/>
  <c r="M38" i="37"/>
  <c r="E27" i="35"/>
  <c r="R37" i="37"/>
  <c r="J164" i="35"/>
  <c r="J165" i="35"/>
  <c r="J168" i="35"/>
  <c r="B22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G22" i="41"/>
  <c r="D28" i="3"/>
  <c r="A19" i="35"/>
  <c r="J135" i="35"/>
  <c r="E88" i="35"/>
  <c r="E91" i="35"/>
  <c r="E45" i="35"/>
  <c r="J146" i="35"/>
  <c r="E37" i="35"/>
  <c r="F15" i="41"/>
  <c r="G14" i="41"/>
  <c r="H14" i="41"/>
  <c r="E24" i="41"/>
  <c r="F24" i="41"/>
  <c r="J41" i="35"/>
  <c r="E89" i="35"/>
  <c r="N54" i="31"/>
  <c r="D30" i="3"/>
  <c r="H12" i="3"/>
  <c r="H14" i="3"/>
  <c r="A19" i="37"/>
  <c r="H90" i="35"/>
  <c r="J90" i="35"/>
  <c r="E146" i="35"/>
  <c r="D34" i="3"/>
  <c r="D31" i="3"/>
  <c r="D32" i="3"/>
  <c r="D33" i="3"/>
  <c r="G12" i="41"/>
  <c r="H12" i="41"/>
  <c r="G15" i="41"/>
  <c r="G13" i="41"/>
  <c r="H13" i="41"/>
  <c r="E23" i="41"/>
  <c r="F23" i="41"/>
  <c r="H23" i="41"/>
  <c r="J141" i="35"/>
  <c r="J138" i="35"/>
  <c r="J140" i="35"/>
  <c r="J151" i="35"/>
  <c r="E180" i="35"/>
  <c r="J147" i="35"/>
  <c r="A20" i="35"/>
  <c r="A20" i="37"/>
  <c r="E45" i="41"/>
  <c r="G23" i="41"/>
  <c r="G24" i="41"/>
  <c r="H24" i="41"/>
  <c r="H15" i="41"/>
  <c r="E22" i="41"/>
  <c r="J143" i="35"/>
  <c r="A21" i="35"/>
  <c r="A21" i="37"/>
  <c r="D22" i="37"/>
  <c r="A22" i="37"/>
  <c r="A23" i="37"/>
  <c r="A24" i="37"/>
  <c r="A25" i="37"/>
  <c r="H88" i="35"/>
  <c r="J88" i="35"/>
  <c r="G179" i="35"/>
  <c r="H16" i="35"/>
  <c r="J16" i="35"/>
  <c r="H76" i="35"/>
  <c r="F172" i="35"/>
  <c r="H172" i="35"/>
  <c r="H175" i="35"/>
  <c r="J175" i="35"/>
  <c r="H58" i="35"/>
  <c r="J58" i="35"/>
  <c r="E25" i="41"/>
  <c r="E43" i="41"/>
  <c r="D22" i="35"/>
  <c r="A22" i="35"/>
  <c r="A23" i="35"/>
  <c r="A24" i="35"/>
  <c r="A25" i="35"/>
  <c r="A26" i="37"/>
  <c r="D35" i="37"/>
  <c r="A26" i="35"/>
  <c r="D35" i="35"/>
  <c r="H18" i="35"/>
  <c r="H95" i="35"/>
  <c r="H83" i="35"/>
  <c r="J83" i="35"/>
  <c r="J76" i="35"/>
  <c r="H77" i="35"/>
  <c r="J77" i="35"/>
  <c r="A27" i="35"/>
  <c r="E154" i="35"/>
  <c r="D36" i="35"/>
  <c r="H96" i="35"/>
  <c r="J96" i="35"/>
  <c r="J95" i="35"/>
  <c r="J18" i="35"/>
  <c r="H19" i="35"/>
  <c r="H28" i="35"/>
  <c r="D36" i="37"/>
  <c r="A27" i="37"/>
  <c r="D37" i="37"/>
  <c r="A28" i="37"/>
  <c r="H29" i="35"/>
  <c r="J29" i="35"/>
  <c r="H78" i="35"/>
  <c r="E164" i="35"/>
  <c r="A28" i="35"/>
  <c r="D37" i="35"/>
  <c r="H82" i="35"/>
  <c r="J82" i="35"/>
  <c r="H80" i="35"/>
  <c r="H89" i="35"/>
  <c r="J89" i="35"/>
  <c r="J91" i="35"/>
  <c r="J78" i="35"/>
  <c r="A29" i="35"/>
  <c r="D38" i="35"/>
  <c r="A29" i="37"/>
  <c r="D38" i="37"/>
  <c r="A30" i="35"/>
  <c r="D39" i="35"/>
  <c r="A30" i="37"/>
  <c r="D39" i="37"/>
  <c r="J80" i="35"/>
  <c r="H81" i="35"/>
  <c r="J81" i="35"/>
  <c r="A31" i="37"/>
  <c r="D40" i="37"/>
  <c r="A31" i="35"/>
  <c r="D40" i="35"/>
  <c r="A32" i="35"/>
  <c r="A33" i="35"/>
  <c r="A34" i="35"/>
  <c r="A35" i="35"/>
  <c r="D41" i="35"/>
  <c r="D32" i="35"/>
  <c r="A32" i="37"/>
  <c r="A33" i="37"/>
  <c r="A34" i="37"/>
  <c r="A35" i="37"/>
  <c r="D41" i="37"/>
  <c r="D32" i="37"/>
  <c r="A36" i="37"/>
  <c r="A37" i="37"/>
  <c r="A38" i="37"/>
  <c r="A39" i="37"/>
  <c r="A40" i="37"/>
  <c r="A41" i="37"/>
  <c r="A42" i="37"/>
  <c r="A48" i="37"/>
  <c r="A49" i="37"/>
  <c r="A50" i="37"/>
  <c r="A36" i="35"/>
  <c r="A37" i="35"/>
  <c r="A38" i="35"/>
  <c r="A39" i="35"/>
  <c r="A40" i="35"/>
  <c r="A41" i="35"/>
  <c r="A42" i="35"/>
  <c r="A51" i="37"/>
  <c r="A52" i="37"/>
  <c r="A53" i="37"/>
  <c r="A54" i="37"/>
  <c r="A55" i="37"/>
  <c r="A56" i="37"/>
  <c r="A57" i="37"/>
  <c r="A58" i="37"/>
  <c r="A59" i="37"/>
  <c r="A60" i="37"/>
  <c r="A61" i="37"/>
  <c r="A43" i="35"/>
  <c r="A44" i="35"/>
  <c r="A45" i="35"/>
  <c r="D42" i="35"/>
  <c r="D42" i="37"/>
  <c r="A62" i="37"/>
  <c r="A63" i="37"/>
  <c r="A64" i="37"/>
  <c r="A65" i="37"/>
  <c r="D65" i="37"/>
  <c r="A46" i="35"/>
  <c r="A47" i="35"/>
  <c r="A48" i="35"/>
  <c r="A49" i="35"/>
  <c r="A50" i="35"/>
  <c r="A51" i="35"/>
  <c r="D56" i="37"/>
  <c r="A52" i="35"/>
  <c r="A53" i="35"/>
  <c r="A54" i="35"/>
  <c r="A55" i="35"/>
  <c r="A56" i="35"/>
  <c r="D51" i="35"/>
  <c r="A57" i="35"/>
  <c r="A58" i="35"/>
  <c r="A59" i="35"/>
  <c r="A60" i="35"/>
  <c r="D60" i="35"/>
  <c r="A61" i="35"/>
  <c r="A62" i="35"/>
  <c r="D62" i="35"/>
  <c r="A76" i="35"/>
  <c r="A77" i="35"/>
  <c r="A78" i="35"/>
  <c r="A79" i="35"/>
  <c r="A80" i="35"/>
  <c r="A81" i="35"/>
  <c r="A82" i="35"/>
  <c r="A83" i="35"/>
  <c r="A84" i="35"/>
  <c r="A85" i="35"/>
  <c r="C85" i="35"/>
  <c r="A86" i="35"/>
  <c r="A87" i="35"/>
  <c r="A88" i="35"/>
  <c r="D56" i="35"/>
  <c r="A89" i="35"/>
  <c r="A90" i="35"/>
  <c r="A91" i="35"/>
  <c r="A92" i="35"/>
  <c r="A93" i="35"/>
  <c r="A94" i="35"/>
  <c r="A95" i="35"/>
  <c r="C91" i="35"/>
  <c r="A96" i="35"/>
  <c r="A97" i="35"/>
  <c r="A98" i="35"/>
  <c r="A99" i="35"/>
  <c r="A100" i="35"/>
  <c r="A101" i="35"/>
  <c r="A102" i="35"/>
  <c r="A103" i="35"/>
  <c r="A104" i="35"/>
  <c r="A105" i="35"/>
  <c r="A106" i="35"/>
  <c r="C101" i="35"/>
  <c r="A107" i="35"/>
  <c r="A108" i="35"/>
  <c r="A109" i="35"/>
  <c r="A110" i="35"/>
  <c r="A111" i="35"/>
  <c r="A112" i="35"/>
  <c r="A113" i="35"/>
  <c r="C115" i="35"/>
  <c r="A114" i="35"/>
  <c r="A115" i="35"/>
  <c r="D110" i="35"/>
  <c r="A116" i="35"/>
  <c r="A117" i="35"/>
  <c r="A118" i="35"/>
  <c r="A119" i="35"/>
  <c r="D52" i="31"/>
  <c r="A135" i="35"/>
  <c r="C119" i="35"/>
  <c r="A136" i="35"/>
  <c r="A137" i="35"/>
  <c r="A138" i="35"/>
  <c r="A139" i="35"/>
  <c r="A140" i="35"/>
  <c r="C140" i="35"/>
  <c r="C138" i="35"/>
  <c r="A141" i="35"/>
  <c r="A142" i="35"/>
  <c r="A143" i="35"/>
  <c r="A144" i="35"/>
  <c r="A145" i="35"/>
  <c r="A146" i="35"/>
  <c r="C143" i="35"/>
  <c r="A147" i="35"/>
  <c r="A148" i="35"/>
  <c r="A149" i="35"/>
  <c r="C151" i="35"/>
  <c r="C149" i="35"/>
  <c r="C139" i="35"/>
  <c r="A150" i="35"/>
  <c r="A151" i="35"/>
  <c r="A152" i="35"/>
  <c r="A153" i="35"/>
  <c r="A154" i="35"/>
  <c r="C141" i="35"/>
  <c r="A155" i="35"/>
  <c r="A156" i="35"/>
  <c r="A157" i="35"/>
  <c r="C156" i="35"/>
  <c r="A158" i="35"/>
  <c r="C159" i="35"/>
  <c r="C158" i="35"/>
  <c r="A159" i="35"/>
  <c r="A160" i="35"/>
  <c r="A161" i="35"/>
  <c r="A162" i="35"/>
  <c r="A163" i="35"/>
  <c r="A164" i="35"/>
  <c r="A165" i="35"/>
  <c r="A166" i="35"/>
  <c r="C161" i="35"/>
  <c r="C157" i="35"/>
  <c r="A167" i="35"/>
  <c r="A168" i="35"/>
  <c r="A169" i="35"/>
  <c r="A170" i="35"/>
  <c r="A171" i="35"/>
  <c r="A172" i="35"/>
  <c r="A173" i="35"/>
  <c r="C168" i="35"/>
  <c r="C166" i="35"/>
  <c r="A174" i="35"/>
  <c r="A175" i="35"/>
  <c r="A176" i="35"/>
  <c r="A177" i="35"/>
  <c r="A178" i="35"/>
  <c r="A179" i="35"/>
  <c r="A180" i="35"/>
  <c r="A181" i="35"/>
  <c r="A182" i="35"/>
  <c r="A183" i="35"/>
  <c r="A184" i="35"/>
  <c r="A185" i="35"/>
  <c r="A186" i="35"/>
  <c r="A187" i="35"/>
  <c r="A188" i="35"/>
  <c r="A189" i="35"/>
  <c r="C181" i="35"/>
  <c r="C175" i="35"/>
  <c r="A190" i="35"/>
  <c r="A191" i="35"/>
  <c r="A192" i="35"/>
  <c r="A193" i="35"/>
  <c r="E193" i="35"/>
  <c r="D198" i="35"/>
  <c r="A194" i="35"/>
  <c r="A195" i="35"/>
  <c r="A196" i="35"/>
  <c r="A197" i="35"/>
  <c r="A198" i="35"/>
  <c r="A199" i="35"/>
  <c r="C113" i="35"/>
  <c r="C199" i="35"/>
  <c r="C107" i="35"/>
  <c r="E39" i="35"/>
  <c r="J19" i="35"/>
  <c r="E22" i="35"/>
  <c r="J39" i="35"/>
  <c r="J85" i="35"/>
  <c r="J56" i="35"/>
  <c r="J60" i="35"/>
  <c r="J62" i="35"/>
  <c r="J112" i="35"/>
  <c r="J110" i="35"/>
  <c r="J115" i="35"/>
  <c r="E106" i="35"/>
  <c r="O42" i="37"/>
  <c r="K42" i="37"/>
  <c r="E30" i="35"/>
  <c r="E40" i="35"/>
  <c r="E32" i="37"/>
  <c r="P32" i="37"/>
  <c r="F38" i="37"/>
  <c r="F42" i="37"/>
  <c r="R28" i="37"/>
  <c r="N38" i="37"/>
  <c r="N42" i="37"/>
  <c r="I32" i="37"/>
  <c r="Q42" i="37"/>
  <c r="H38" i="37"/>
  <c r="H42" i="37"/>
  <c r="I42" i="37"/>
  <c r="G42" i="37"/>
  <c r="M42" i="37"/>
  <c r="J42" i="37"/>
  <c r="E42" i="37"/>
  <c r="P36" i="37"/>
  <c r="P42" i="37"/>
  <c r="R26" i="37"/>
  <c r="R36" i="37"/>
  <c r="G56" i="37"/>
  <c r="E50" i="35"/>
  <c r="R75" i="37"/>
  <c r="R71" i="37"/>
  <c r="R42" i="37"/>
  <c r="E28" i="35"/>
  <c r="R38" i="37"/>
  <c r="R32" i="37"/>
  <c r="E26" i="35"/>
  <c r="E36" i="35"/>
  <c r="E51" i="35"/>
  <c r="E32" i="35"/>
  <c r="E42" i="35"/>
  <c r="E38" i="35"/>
  <c r="J28" i="35"/>
  <c r="J38" i="35"/>
  <c r="J154" i="35"/>
  <c r="E179" i="35"/>
  <c r="E181" i="35"/>
  <c r="J159" i="35"/>
  <c r="J161" i="35"/>
  <c r="H26" i="35"/>
  <c r="J26" i="35"/>
  <c r="J156" i="35"/>
  <c r="J158" i="35"/>
  <c r="F179" i="35"/>
  <c r="F180" i="35"/>
  <c r="F181" i="35"/>
  <c r="H179" i="35"/>
  <c r="J181" i="35"/>
  <c r="J36" i="35"/>
  <c r="H57" i="35"/>
  <c r="J57" i="35"/>
  <c r="H20" i="35"/>
  <c r="H30" i="35"/>
  <c r="J30" i="35"/>
  <c r="J32" i="35"/>
  <c r="J20" i="35"/>
  <c r="J40" i="35"/>
  <c r="J42" i="35"/>
  <c r="H42" i="35"/>
  <c r="J22" i="35"/>
  <c r="H22" i="35"/>
  <c r="H59" i="35"/>
  <c r="J59" i="35"/>
  <c r="H98" i="35"/>
  <c r="H47" i="35"/>
  <c r="H46" i="35"/>
  <c r="J46" i="35"/>
  <c r="J98" i="35"/>
  <c r="H100" i="35"/>
  <c r="J100" i="35"/>
  <c r="H49" i="35"/>
  <c r="H48" i="35"/>
  <c r="J48" i="35"/>
  <c r="J47" i="35"/>
  <c r="J49" i="35"/>
  <c r="H50" i="35"/>
  <c r="J50" i="35"/>
  <c r="J51" i="35"/>
  <c r="J101" i="35"/>
  <c r="E56" i="35"/>
  <c r="E60" i="35"/>
  <c r="D22" i="41"/>
  <c r="J119" i="35"/>
  <c r="M52" i="31"/>
  <c r="M54" i="31"/>
  <c r="D25" i="41"/>
  <c r="E42" i="41"/>
  <c r="F22" i="41"/>
  <c r="F25" i="41"/>
  <c r="E44" i="41"/>
  <c r="E46" i="41"/>
  <c r="H22" i="41"/>
  <c r="H25" i="41"/>
  <c r="F28" i="41"/>
  <c r="F29" i="41"/>
  <c r="F30" i="41"/>
  <c r="F32" i="41"/>
  <c r="F34" i="41"/>
  <c r="F31" i="41"/>
  <c r="F33" i="41"/>
</calcChain>
</file>

<file path=xl/comments1.xml><?xml version="1.0" encoding="utf-8"?>
<comments xmlns="http://schemas.openxmlformats.org/spreadsheetml/2006/main">
  <authors>
    <author>Chris Kilpatrick</author>
    <author>Hoffman, Cody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  <comment ref="D24" authorId="1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Updated Rev Req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J50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Inlcudes Regulatory Liability Account 254-015</t>
        </r>
      </text>
    </comment>
  </commentList>
</comments>
</file>

<file path=xl/comments3.xml><?xml version="1.0" encoding="utf-8"?>
<comments xmlns="http://schemas.openxmlformats.org/spreadsheetml/2006/main">
  <authors>
    <author>Hoffman, Cody</author>
    <author>jkirsch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  <comment ref="G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<sst xmlns="http://schemas.openxmlformats.org/spreadsheetml/2006/main" count="765" uniqueCount="478">
  <si>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</si>
  <si>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</si>
  <si>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</si>
  <si>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</si>
  <si>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</si>
  <si>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</si>
  <si>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</si>
  <si>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</si>
  <si>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</si>
  <si>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</si>
  <si>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</si>
  <si>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</si>
  <si>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</si>
  <si>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</si>
  <si>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</si>
  <si>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</si>
  <si>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</si>
  <si>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</si>
  <si>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</si>
  <si>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</si>
  <si>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</si>
  <si>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</si>
  <si>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</si>
  <si>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</si>
  <si>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</si>
  <si>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</si>
  <si>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</si>
  <si>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</si>
  <si>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</si>
  <si>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</si>
  <si>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</si>
  <si>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</si>
  <si>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</si>
  <si>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</si>
  <si>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</si>
  <si>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</si>
  <si>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</si>
  <si>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</si>
  <si>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</si>
  <si>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</si>
  <si>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</si>
  <si>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</si>
  <si>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</si>
  <si>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</si>
  <si>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</si>
  <si>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</si>
  <si>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</si>
  <si>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</si>
  <si>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</si>
  <si>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</si>
  <si>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</si>
  <si>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</si>
  <si>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</si>
  <si>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</si>
  <si>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</si>
  <si>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</si>
  <si>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</si>
  <si>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</si>
  <si>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</si>
  <si>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</si>
  <si>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</si>
  <si>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</si>
  <si>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</si>
  <si>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</si>
  <si>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</si>
  <si>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</si>
  <si>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</si>
  <si>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</si>
  <si>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</si>
  <si>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</si>
  <si>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</si>
  <si>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</si>
  <si>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</si>
  <si>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</si>
  <si>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</si>
  <si>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</si>
  <si>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</si>
  <si>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</si>
  <si>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</si>
  <si>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</si>
  <si>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</si>
  <si>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</si>
  <si>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</si>
  <si>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</si>
  <si>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</si>
  <si>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</si>
  <si>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</si>
  <si>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</si>
  <si>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</si>
  <si>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</si>
  <si>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</si>
  <si>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</si>
  <si>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</si>
  <si>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</si>
  <si>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</si>
  <si>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</si>
  <si>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</si>
  <si>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</si>
  <si>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</si>
  <si>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</si>
  <si>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</si>
  <si>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</si>
  <si>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</si>
  <si>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</si>
  <si>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</si>
  <si>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</si>
  <si>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</si>
  <si>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</si>
  <si>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</si>
  <si>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</si>
  <si>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</si>
  <si>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</si>
  <si>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</si>
  <si>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</si>
  <si>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</si>
  <si>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</si>
  <si>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</si>
  <si>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</si>
  <si>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</si>
  <si>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</si>
  <si>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</si>
  <si>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</si>
  <si>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</si>
  <si>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</si>
  <si>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</si>
  <si>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</si>
  <si>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</si>
  <si>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</si>
  <si>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</si>
  <si>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</si>
  <si>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</si>
  <si>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</si>
  <si>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</si>
  <si>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</si>
  <si>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</si>
  <si>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</si>
  <si>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</si>
  <si>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</si>
  <si>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</si>
  <si>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</si>
  <si>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</si>
  <si>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</si>
  <si>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</si>
  <si>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</si>
  <si>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</si>
  <si>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</si>
  <si>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</si>
  <si>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</si>
  <si>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</si>
  <si>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</si>
  <si>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</si>
  <si>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</si>
  <si>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</si>
  <si>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</si>
  <si>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</si>
  <si>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</si>
  <si>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</si>
  <si>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</si>
  <si>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</si>
  <si>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</si>
  <si>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</si>
  <si>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</si>
  <si>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</si>
  <si>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</si>
  <si>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</si>
  <si>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</si>
  <si>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</si>
  <si>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</si>
  <si>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</si>
  <si>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</si>
  <si>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</si>
  <si>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</si>
  <si>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</si>
  <si>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</si>
  <si>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</si>
  <si>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</si>
  <si>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</si>
  <si>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</si>
  <si>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</si>
  <si>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</si>
  <si>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</si>
  <si>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</si>
  <si>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</si>
  <si>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</si>
  <si>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</si>
  <si>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</si>
  <si>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</si>
  <si>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</si>
  <si>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</si>
  <si>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</si>
  <si>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</si>
  <si>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</si>
  <si>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</si>
  <si>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</si>
  <si>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</si>
  <si>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</si>
  <si>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</si>
  <si>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</si>
  <si>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</si>
  <si>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</si>
  <si>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</si>
  <si>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</si>
  <si>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</si>
  <si>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</si>
  <si>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</si>
  <si>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</si>
  <si>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</si>
  <si>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</si>
  <si>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</si>
  <si>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</si>
  <si>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</si>
  <si>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</si>
  <si>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</si>
  <si>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</si>
  <si>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</si>
  <si>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</si>
  <si>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</si>
  <si>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</si>
  <si>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</si>
  <si>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</si>
  <si>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</si>
  <si>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</si>
  <si>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</si>
  <si>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</si>
  <si>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</si>
  <si>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</si>
  <si>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</si>
  <si>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</si>
  <si>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</si>
  <si>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</si>
  <si>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</si>
  <si>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</si>
  <si>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</si>
  <si>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</si>
  <si>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</si>
  <si>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</si>
  <si>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</si>
  <si>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</si>
  <si>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</si>
  <si>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</si>
  <si>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</si>
  <si>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</si>
  <si>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</si>
  <si>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</si>
  <si>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</si>
  <si>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</si>
  <si>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</si>
  <si>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</si>
  <si>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</si>
  <si>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</si>
  <si>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</si>
  <si>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</si>
  <si>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</si>
  <si>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</si>
  <si>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</si>
  <si>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</si>
  <si>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</si>
  <si>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</si>
  <si>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</si>
  <si>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</si>
  <si>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</si>
  <si>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</si>
  <si>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</si>
  <si>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</si>
  <si>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</si>
  <si>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</si>
  <si>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</si>
  <si>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</si>
  <si>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</si>
  <si>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</si>
  <si>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</si>
  <si>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</si>
  <si>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</si>
  <si>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</si>
  <si>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</si>
  <si>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</si>
  <si>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</si>
  <si>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</si>
  <si>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</si>
  <si>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</si>
  <si>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</si>
  <si>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</si>
  <si>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</si>
  <si>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</si>
  <si>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</si>
  <si>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</si>
  <si>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</si>
  <si>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</si>
  <si>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</si>
  <si>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</si>
  <si>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</si>
  <si>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</si>
  <si>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</si>
  <si>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</si>
  <si>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</si>
  <si>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</si>
  <si>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</si>
  <si>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</si>
  <si>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</si>
  <si>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</si>
  <si>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</si>
  <si>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</si>
  <si>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</si>
  <si>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</si>
  <si>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</si>
  <si>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</si>
  <si>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</si>
  <si>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</si>
  <si>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</si>
  <si>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</si>
  <si>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</si>
  <si>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</si>
  <si>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</si>
  <si>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</si>
  <si>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</si>
  <si>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</si>
  <si>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</si>
  <si>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</si>
  <si>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</si>
  <si>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</si>
  <si>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</si>
  <si>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</si>
  <si>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</si>
  <si>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</si>
  <si>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</si>
  <si>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</si>
  <si>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</si>
  <si>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</si>
  <si>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</si>
  <si>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</si>
  <si>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</si>
  <si>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</si>
  <si>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</si>
  <si>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</si>
  <si>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</si>
  <si>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</si>
  <si>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</si>
  <si>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</si>
  <si>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</si>
  <si>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</si>
  <si>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</si>
  <si>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</si>
  <si>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</si>
  <si>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</si>
  <si>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</si>
  <si>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</si>
  <si>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</si>
  <si>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</si>
  <si>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</si>
  <si>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</si>
  <si>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</si>
  <si>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</si>
  <si>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</si>
  <si>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</si>
  <si>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</si>
  <si>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</si>
  <si>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</si>
  <si>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</si>
  <si>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</si>
  <si>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</si>
  <si>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</si>
  <si>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</si>
  <si>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</si>
  <si>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</si>
  <si>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</si>
  <si>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</si>
  <si>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</si>
  <si>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</si>
  <si>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</si>
  <si>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</si>
  <si>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</si>
  <si>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</si>
  <si>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</si>
  <si>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</si>
  <si>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</si>
  <si>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</si>
  <si>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</si>
  <si>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</si>
  <si>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</si>
  <si>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</si>
  <si>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</si>
  <si>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</si>
  <si>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</si>
  <si>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</si>
  <si>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</si>
  <si>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</si>
  <si>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</si>
  <si>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</si>
  <si>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</si>
  <si>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</si>
  <si>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</si>
  <si>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</si>
  <si>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</si>
  <si>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</si>
  <si>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</si>
  <si>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</si>
  <si>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</si>
  <si>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</si>
  <si>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</si>
  <si>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</si>
  <si>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</si>
  <si>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</si>
  <si>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</si>
  <si>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</si>
  <si>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</si>
  <si>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</si>
  <si>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</si>
  <si>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207.99.g - line 6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</si>
  <si>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</si>
  <si>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</si>
  <si>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</si>
  <si>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</si>
  <si>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</si>
  <si>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</si>
  <si>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</si>
  <si>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</si>
  <si>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</si>
  <si>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</si>
  <si>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</si>
  <si>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</si>
  <si>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</si>
  <si>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</si>
  <si>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</si>
  <si>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</si>
  <si>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</si>
  <si>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</si>
  <si>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</si>
  <si>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</si>
  <si>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</si>
  <si>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</si>
  <si>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</si>
  <si>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</si>
  <si>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</si>
  <si>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</si>
  <si>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</si>
  <si>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</si>
  <si>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</si>
  <si>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</si>
  <si>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</si>
  <si>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</si>
  <si>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</si>
  <si>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</si>
  <si>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</si>
  <si>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</si>
  <si>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</si>
  <si>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</si>
  <si>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</si>
  <si>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(See Workpaper 7 2017 Actual Load Data)</t>
  </si>
  <si>
    <t>12/31/17 &amp; 12/31/18 average balance</t>
  </si>
  <si>
    <r>
      <t>2018 Actual Load Data</t>
    </r>
    <r>
      <rPr>
        <b/>
        <vertAlign val="superscript"/>
        <sz val="12"/>
        <rFont val="Arial"/>
        <family val="2"/>
      </rPr>
      <t>1</t>
    </r>
  </si>
  <si>
    <r>
      <t>2018 Projected Load Data</t>
    </r>
    <r>
      <rPr>
        <b/>
        <vertAlign val="superscript"/>
        <sz val="12"/>
        <rFont val="Arial"/>
        <family val="2"/>
      </rPr>
      <t>2</t>
    </r>
  </si>
  <si>
    <t>Actual Expenses (2018)</t>
  </si>
  <si>
    <t>O&amp;M - Acct 561 (2017)</t>
  </si>
  <si>
    <t>TRUE UP OF RATES FOR CALENDAR YEAR 2018</t>
  </si>
  <si>
    <t>Actual 2018 Load</t>
  </si>
  <si>
    <t>Date: May 31, 2019</t>
  </si>
  <si>
    <t>Amount based on actual calendar year 2018</t>
  </si>
  <si>
    <t>278.2.c</t>
  </si>
  <si>
    <t>(232.1.f)*.21 + (278.2.b/f)</t>
  </si>
  <si>
    <t>Effective August 1, 2019</t>
  </si>
  <si>
    <t>SW Maintenance</t>
  </si>
  <si>
    <t>SW Maintenance effect on Retained Earnings</t>
  </si>
  <si>
    <t>Depreciation Rate Change Adj</t>
  </si>
  <si>
    <t>ACCUMULATED DEPRECIATION CORRECTION SUMMARY</t>
  </si>
  <si>
    <t>Transmission Originally provided</t>
  </si>
  <si>
    <t>Transmission Adjustment</t>
  </si>
  <si>
    <t>Adjusted Transmission</t>
  </si>
  <si>
    <t>General and Intangible Originally provided</t>
  </si>
  <si>
    <t>General and Intangible Adjustment</t>
  </si>
  <si>
    <t>Adjusted General and Intangible</t>
  </si>
  <si>
    <t>Communication System Originally provided</t>
  </si>
  <si>
    <t>Communication System Adjustment</t>
  </si>
  <si>
    <t>Adjusted Communication System</t>
  </si>
  <si>
    <t>Account 282 Adjustment</t>
  </si>
  <si>
    <t>Original</t>
  </si>
  <si>
    <t>Adjustment</t>
  </si>
  <si>
    <t>Adjusted</t>
  </si>
  <si>
    <t>Benefit Geography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</si>
</sst>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* #,##0.0_);_(* \(#,##0.0\);_(* &quot;-&quot;??_);_(@_)"/>
    <numFmt numFmtId="180" formatCode="_(&quot;$&quot;* #,##0.0000_);_(&quot;$&quot;* \(#,##0.0000\);_(&quot;$&quot;* &quot;-&quot;??_);_(@_)"/>
    <numFmt numFmtId="181" formatCode="_(&quot;$&quot;* #,##0.00000_);_(&quot;$&quot;* \(#,##0.00000\);_(&quot;$&quot;* &quot;-&quot;??_);_(@_)"/>
    <numFmt numFmtId="183" formatCode="mmm\-yyyy"/>
    <numFmt numFmtId="184" formatCode="0.0000%"/>
    <numFmt numFmtId="185" formatCode="#,##0.000000"/>
    <numFmt numFmtId="186" formatCode="[$-409]mmm\-yy;@"/>
    <numFmt numFmtId="187" formatCode="&quot;$&quot;#,##0.0;[Red]\-&quot;$&quot;#,##0.0"/>
    <numFmt numFmtId="188" formatCode="00000"/>
    <numFmt numFmtId="189" formatCode="#,##0\ ;\(#,##0\);\-\ \ \ \ \ "/>
    <numFmt numFmtId="190" formatCode="#,##0\ ;\(#,##0\);\–\ \ \ \ \ "/>
    <numFmt numFmtId="191" formatCode="#,##0;\(#,##0\)"/>
    <numFmt numFmtId="192" formatCode="yyyymmdd"/>
    <numFmt numFmtId="193" formatCode="_([$€-2]* #,##0.00_);_([$€-2]* \(#,##0.00\);_([$€-2]* &quot;-&quot;??_)"/>
    <numFmt numFmtId="194" formatCode="_-* #,##0.0_-;\-* #,##0.0_-;_-* &quot;-&quot;??_-;_-@_-"/>
    <numFmt numFmtId="195" formatCode="#,##0.00&quot; $&quot;;\-#,##0.00&quot; $&quot;"/>
    <numFmt numFmtId="196" formatCode="000000000"/>
    <numFmt numFmtId="197" formatCode="#,##0.0_);\(#,##0.0\)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.00_)"/>
    <numFmt numFmtId="201" formatCode="00"/>
    <numFmt numFmtId="202" formatCode="0_);\(0\)"/>
    <numFmt numFmtId="203" formatCode="000\-00\-0000"/>
    <numFmt numFmtId="208" formatCode="[$-409]mmmm\ d\,\ yyyy;@"/>
  </numFmts>
  <fonts count="98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2">
    <xf numFmtId="172" fontId="0" fillId="0" borderId="0" applyProtection="0"/>
    <xf numFmtId="0" fontId="6" fillId="0" borderId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0" fontId="6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38" fontId="49" fillId="0" borderId="0" applyBorder="0" applyAlignment="0"/>
    <xf numFmtId="187" fontId="43" fillId="20" borderId="1">
      <alignment horizontal="center" vertical="center"/>
    </xf>
    <xf numFmtId="188" fontId="6" fillId="0" borderId="2">
      <alignment horizontal="left"/>
    </xf>
    <xf numFmtId="0" fontId="50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1" fillId="0" borderId="0" applyNumberFormat="0" applyFill="0" applyBorder="0" applyAlignment="0" applyProtection="0"/>
    <xf numFmtId="189" fontId="52" fillId="0" borderId="3" applyNumberFormat="0" applyFill="0" applyAlignment="0" applyProtection="0">
      <alignment horizontal="center"/>
    </xf>
    <xf numFmtId="190" fontId="52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3" fillId="0" borderId="0" applyFill="0">
      <alignment vertical="top"/>
    </xf>
    <xf numFmtId="0" fontId="54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3" fillId="0" borderId="0" applyFill="0">
      <alignment wrapText="1"/>
    </xf>
    <xf numFmtId="0" fontId="54" fillId="0" borderId="0" applyFill="0">
      <alignment horizontal="left" vertical="top" wrapText="1"/>
    </xf>
    <xf numFmtId="37" fontId="10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56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57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5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9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37" fontId="59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62" fillId="0" borderId="0">
      <alignment horizontal="center" wrapText="1"/>
    </xf>
    <xf numFmtId="0" fontId="63" fillId="0" borderId="0" applyFill="0">
      <alignment horizontal="center" wrapText="1"/>
    </xf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43" fontId="6" fillId="0" borderId="0" applyFont="0" applyFill="0" applyBorder="0" applyAlignment="0" applyProtection="0"/>
    <xf numFmtId="191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65" fillId="0" borderId="0" applyFont="0" applyFill="0" applyBorder="0" applyAlignment="0" applyProtection="0"/>
    <xf numFmtId="4" fontId="67" fillId="0" borderId="0" applyFont="0" applyFill="0" applyBorder="0" applyAlignment="0" applyProtection="0"/>
    <xf numFmtId="0" fontId="6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67" fillId="0" borderId="0" applyFont="0" applyFill="0" applyBorder="0" applyAlignment="0" applyProtection="0"/>
    <xf numFmtId="192" fontId="6" fillId="0" borderId="2">
      <alignment horizontal="center"/>
    </xf>
    <xf numFmtId="193" fontId="6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4" fontId="6" fillId="0" borderId="0">
      <protection locked="0"/>
    </xf>
    <xf numFmtId="0" fontId="67" fillId="0" borderId="0"/>
    <xf numFmtId="0" fontId="68" fillId="0" borderId="0"/>
    <xf numFmtId="0" fontId="69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38" fontId="10" fillId="23" borderId="0" applyNumberFormat="0" applyBorder="0" applyAlignment="0" applyProtection="0"/>
    <xf numFmtId="0" fontId="70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1" fillId="0" borderId="0">
      <alignment horizontal="center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5" fontId="6" fillId="0" borderId="0">
      <protection locked="0"/>
    </xf>
    <xf numFmtId="195" fontId="6" fillId="0" borderId="0">
      <protection locked="0"/>
    </xf>
    <xf numFmtId="0" fontId="72" fillId="0" borderId="14" applyNumberFormat="0" applyFill="0" applyAlignment="0" applyProtection="0"/>
    <xf numFmtId="0" fontId="33" fillId="7" borderId="7" applyNumberFormat="0" applyAlignment="0" applyProtection="0"/>
    <xf numFmtId="10" fontId="10" fillId="24" borderId="2" applyNumberFormat="0" applyBorder="0" applyAlignment="0" applyProtection="0"/>
    <xf numFmtId="0" fontId="33" fillId="7" borderId="7" applyNumberFormat="0" applyAlignment="0" applyProtection="0"/>
    <xf numFmtId="0" fontId="10" fillId="23" borderId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196" fontId="6" fillId="0" borderId="2">
      <alignment horizontal="center"/>
    </xf>
    <xf numFmtId="197" fontId="73" fillId="0" borderId="0"/>
    <xf numFmtId="17" fontId="74" fillId="0" borderId="0">
      <alignment horizontal="center"/>
    </xf>
    <xf numFmtId="19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3" fontId="75" fillId="0" borderId="0" applyNumberFormat="0" applyFill="0" applyBorder="0" applyAlignment="0" applyProtection="0"/>
    <xf numFmtId="0" fontId="52" fillId="0" borderId="0" applyNumberFormat="0" applyFill="0" applyAlignment="0" applyProtection="0"/>
    <xf numFmtId="37" fontId="76" fillId="0" borderId="0"/>
    <xf numFmtId="200" fontId="77" fillId="0" borderId="0"/>
    <xf numFmtId="172" fontId="1" fillId="0" borderId="0" applyProtection="0"/>
    <xf numFmtId="0" fontId="6" fillId="0" borderId="0"/>
    <xf numFmtId="0" fontId="96" fillId="0" borderId="0"/>
    <xf numFmtId="0" fontId="65" fillId="0" borderId="0"/>
    <xf numFmtId="0" fontId="6" fillId="0" borderId="0"/>
    <xf numFmtId="0" fontId="92" fillId="0" borderId="0"/>
    <xf numFmtId="0" fontId="6" fillId="0" borderId="2">
      <alignment horizontal="center" wrapText="1"/>
    </xf>
    <xf numFmtId="2" fontId="6" fillId="0" borderId="2">
      <alignment horizontal="center"/>
    </xf>
    <xf numFmtId="201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6" fillId="21" borderId="17" applyNumberFormat="0" applyAlignment="0" applyProtection="0"/>
    <xf numFmtId="0" fontId="36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3">
      <alignment horizontal="center"/>
    </xf>
    <xf numFmtId="3" fontId="37" fillId="0" borderId="0" applyFont="0" applyFill="0" applyBorder="0" applyAlignment="0" applyProtection="0"/>
    <xf numFmtId="0" fontId="37" fillId="27" borderId="0" applyNumberFormat="0" applyFont="0" applyBorder="0" applyAlignment="0" applyProtection="0"/>
    <xf numFmtId="37" fontId="10" fillId="23" borderId="0" applyFill="0">
      <alignment horizontal="right"/>
    </xf>
    <xf numFmtId="0" fontId="59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8" fillId="0" borderId="0" applyFill="0"/>
    <xf numFmtId="0" fontId="10" fillId="0" borderId="0" applyFill="0">
      <alignment horizontal="left"/>
    </xf>
    <xf numFmtId="202" fontId="10" fillId="0" borderId="4" applyFill="0">
      <alignment horizontal="right"/>
    </xf>
    <xf numFmtId="0" fontId="6" fillId="0" borderId="0" applyNumberFormat="0" applyFont="0" applyBorder="0" applyAlignment="0"/>
    <xf numFmtId="0" fontId="56" fillId="0" borderId="0" applyFill="0">
      <alignment horizontal="left" indent="1"/>
    </xf>
    <xf numFmtId="0" fontId="59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6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9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8" fillId="0" borderId="0">
      <alignment horizontal="left" indent="4"/>
    </xf>
    <xf numFmtId="0" fontId="10" fillId="0" borderId="0" applyFill="0">
      <alignment horizontal="left"/>
    </xf>
    <xf numFmtId="37" fontId="59" fillId="0" borderId="0" applyFill="0">
      <alignment horizontal="right"/>
    </xf>
    <xf numFmtId="0" fontId="6" fillId="0" borderId="0" applyNumberFormat="0" applyFont="0" applyBorder="0" applyAlignment="0"/>
    <xf numFmtId="0" fontId="60" fillId="0" borderId="0">
      <alignment horizontal="left" indent="5"/>
    </xf>
    <xf numFmtId="0" fontId="59" fillId="0" borderId="0" applyFill="0">
      <alignment horizontal="left"/>
    </xf>
    <xf numFmtId="37" fontId="59" fillId="0" borderId="0" applyFill="0">
      <alignment horizontal="right"/>
    </xf>
    <xf numFmtId="0" fontId="6" fillId="0" borderId="0" applyNumberFormat="0" applyFont="0" applyFill="0" applyBorder="0" applyAlignment="0"/>
    <xf numFmtId="0" fontId="62" fillId="0" borderId="0" applyFill="0">
      <alignment horizontal="left" indent="6"/>
    </xf>
    <xf numFmtId="0" fontId="59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80" fillId="0" borderId="0" applyNumberFormat="0" applyAlignment="0">
      <alignment horizontal="centerContinuous"/>
    </xf>
    <xf numFmtId="0" fontId="52" fillId="0" borderId="4" applyNumberFormat="0" applyFill="0" applyAlignment="0" applyProtection="0"/>
    <xf numFmtId="37" fontId="81" fillId="0" borderId="0" applyNumberFormat="0">
      <alignment horizontal="left"/>
    </xf>
    <xf numFmtId="203" fontId="6" fillId="0" borderId="2">
      <alignment horizontal="center" wrapText="1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3" fontId="6" fillId="0" borderId="0" applyFill="0" applyBorder="0" applyAlignment="0" applyProtection="0">
      <alignment wrapText="1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37" fontId="84" fillId="0" borderId="0" applyNumberFormat="0">
      <alignment horizontal="left"/>
    </xf>
    <xf numFmtId="197" fontId="85" fillId="0" borderId="0"/>
    <xf numFmtId="40" fontId="86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7" fillId="0" borderId="14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18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70" applyFill="1"/>
    <xf numFmtId="173" fontId="6" fillId="0" borderId="0" xfId="105" applyNumberFormat="1" applyFont="1" applyFill="1"/>
    <xf numFmtId="0" fontId="6" fillId="0" borderId="0" xfId="169" applyFont="1" applyFill="1"/>
    <xf numFmtId="0" fontId="6" fillId="0" borderId="0" xfId="169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19" xfId="167" applyFill="1" applyBorder="1" applyAlignment="1">
      <alignment horizontal="center"/>
    </xf>
    <xf numFmtId="0" fontId="6" fillId="0" borderId="20" xfId="167" applyFill="1" applyBorder="1" applyAlignment="1">
      <alignment horizontal="center"/>
    </xf>
    <xf numFmtId="0" fontId="6" fillId="0" borderId="21" xfId="167" applyFill="1" applyBorder="1" applyAlignment="1">
      <alignment horizontal="center"/>
    </xf>
    <xf numFmtId="0" fontId="6" fillId="0" borderId="0" xfId="167" applyFill="1" applyBorder="1" applyAlignment="1">
      <alignment horizontal="center"/>
    </xf>
    <xf numFmtId="0" fontId="6" fillId="0" borderId="21" xfId="167" applyFont="1" applyFill="1" applyBorder="1" applyAlignment="1">
      <alignment horizontal="center"/>
    </xf>
    <xf numFmtId="0" fontId="6" fillId="0" borderId="22" xfId="167" applyFill="1" applyBorder="1" applyAlignment="1">
      <alignment horizontal="center"/>
    </xf>
    <xf numFmtId="0" fontId="6" fillId="0" borderId="3" xfId="167" applyFill="1" applyBorder="1" applyAlignment="1">
      <alignment horizontal="center"/>
    </xf>
    <xf numFmtId="0" fontId="6" fillId="0" borderId="21" xfId="167" applyFill="1" applyBorder="1"/>
    <xf numFmtId="1" fontId="6" fillId="0" borderId="23" xfId="167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3" fillId="0" borderId="0" xfId="170" applyFont="1" applyFill="1" applyAlignment="1">
      <alignment horizontal="left"/>
    </xf>
    <xf numFmtId="0" fontId="6" fillId="0" borderId="19" xfId="167" applyFont="1" applyFill="1" applyBorder="1" applyAlignment="1">
      <alignment horizontal="center"/>
    </xf>
    <xf numFmtId="0" fontId="6" fillId="0" borderId="22" xfId="167" applyFont="1" applyFill="1" applyBorder="1" applyAlignment="1">
      <alignment horizontal="center"/>
    </xf>
    <xf numFmtId="0" fontId="6" fillId="0" borderId="21" xfId="167" quotePrefix="1" applyFont="1" applyFill="1" applyBorder="1" applyAlignment="1">
      <alignment horizontal="left"/>
    </xf>
    <xf numFmtId="0" fontId="6" fillId="0" borderId="20" xfId="167" applyFill="1" applyBorder="1"/>
    <xf numFmtId="0" fontId="6" fillId="0" borderId="0" xfId="167" applyFill="1" applyBorder="1"/>
    <xf numFmtId="0" fontId="6" fillId="0" borderId="22" xfId="167" quotePrefix="1" applyFont="1" applyFill="1" applyBorder="1" applyAlignment="1">
      <alignment horizontal="left"/>
    </xf>
    <xf numFmtId="0" fontId="6" fillId="0" borderId="3" xfId="167" applyFill="1" applyBorder="1"/>
    <xf numFmtId="0" fontId="18" fillId="0" borderId="0" xfId="168" applyFont="1" applyFill="1" applyAlignment="1">
      <alignment horizontal="center"/>
    </xf>
    <xf numFmtId="0" fontId="6" fillId="0" borderId="0" xfId="167" applyFont="1" applyFill="1" applyAlignment="1">
      <alignment horizontal="left"/>
    </xf>
    <xf numFmtId="0" fontId="6" fillId="0" borderId="0" xfId="167" applyFill="1"/>
    <xf numFmtId="0" fontId="6" fillId="0" borderId="0" xfId="167" applyFill="1" applyAlignment="1">
      <alignment horizontal="left"/>
    </xf>
    <xf numFmtId="172" fontId="18" fillId="0" borderId="0" xfId="0" applyFont="1" applyFill="1" applyAlignment="1"/>
    <xf numFmtId="0" fontId="10" fillId="0" borderId="0" xfId="172" applyFont="1" applyFill="1"/>
    <xf numFmtId="172" fontId="18" fillId="0" borderId="0" xfId="0" applyFont="1" applyFill="1"/>
    <xf numFmtId="172" fontId="16" fillId="0" borderId="0" xfId="0" applyFont="1" applyFill="1" applyAlignment="1">
      <alignment horizontal="center"/>
    </xf>
    <xf numFmtId="0" fontId="10" fillId="0" borderId="0" xfId="172" applyFont="1" applyFill="1" applyAlignment="1">
      <alignment horizontal="center"/>
    </xf>
    <xf numFmtId="164" fontId="10" fillId="0" borderId="0" xfId="172" applyNumberFormat="1" applyFont="1" applyFill="1"/>
    <xf numFmtId="0" fontId="13" fillId="0" borderId="0" xfId="172" applyFont="1" applyFill="1"/>
    <xf numFmtId="0" fontId="16" fillId="0" borderId="0" xfId="172" applyFont="1" applyFill="1"/>
    <xf numFmtId="6" fontId="10" fillId="0" borderId="24" xfId="172" applyNumberFormat="1" applyFont="1" applyFill="1" applyBorder="1"/>
    <xf numFmtId="6" fontId="13" fillId="0" borderId="24" xfId="172" applyNumberFormat="1" applyFont="1" applyFill="1" applyBorder="1"/>
    <xf numFmtId="0" fontId="15" fillId="0" borderId="0" xfId="172" applyFont="1" applyFill="1"/>
    <xf numFmtId="0" fontId="6" fillId="0" borderId="0" xfId="170" applyFont="1" applyFill="1"/>
    <xf numFmtId="0" fontId="12" fillId="0" borderId="0" xfId="172" applyFont="1" applyFill="1"/>
    <xf numFmtId="173" fontId="16" fillId="0" borderId="0" xfId="105" applyNumberFormat="1" applyFont="1" applyFill="1"/>
    <xf numFmtId="6" fontId="10" fillId="0" borderId="0" xfId="172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0" fontId="10" fillId="0" borderId="0" xfId="172" quotePrefix="1" applyFont="1" applyFill="1" applyAlignment="1">
      <alignment horizontal="left"/>
    </xf>
    <xf numFmtId="3" fontId="14" fillId="0" borderId="0" xfId="172" applyNumberFormat="1" applyFont="1" applyFill="1"/>
    <xf numFmtId="0" fontId="10" fillId="0" borderId="0" xfId="172" applyFont="1" applyFill="1" applyAlignment="1">
      <alignment horizontal="right"/>
    </xf>
    <xf numFmtId="177" fontId="14" fillId="0" borderId="0" xfId="112" applyNumberFormat="1" applyFont="1" applyFill="1" applyAlignment="1">
      <alignment horizontal="right"/>
    </xf>
    <xf numFmtId="174" fontId="48" fillId="0" borderId="0" xfId="169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2" fillId="0" borderId="0" xfId="0" applyFont="1" applyFill="1" applyAlignment="1"/>
    <xf numFmtId="0" fontId="18" fillId="0" borderId="0" xfId="168" applyFont="1" applyFill="1" applyAlignment="1">
      <alignment horizontal="left"/>
    </xf>
    <xf numFmtId="172" fontId="14" fillId="0" borderId="0" xfId="0" applyFont="1" applyFill="1" applyAlignment="1"/>
    <xf numFmtId="0" fontId="18" fillId="0" borderId="0" xfId="168" applyFont="1" applyFill="1"/>
    <xf numFmtId="16" fontId="18" fillId="0" borderId="0" xfId="168" applyNumberFormat="1" applyFont="1" applyFill="1" applyAlignment="1">
      <alignment horizontal="center"/>
    </xf>
    <xf numFmtId="172" fontId="6" fillId="0" borderId="0" xfId="0" applyFont="1" applyFill="1" applyAlignment="1"/>
    <xf numFmtId="0" fontId="6" fillId="0" borderId="0" xfId="168" applyFont="1" applyFill="1" applyAlignment="1">
      <alignment horizontal="left"/>
    </xf>
    <xf numFmtId="0" fontId="6" fillId="0" borderId="3" xfId="169" applyFont="1" applyFill="1" applyBorder="1" applyAlignment="1">
      <alignment horizontal="center" wrapText="1"/>
    </xf>
    <xf numFmtId="43" fontId="6" fillId="0" borderId="0" xfId="169" applyNumberFormat="1" applyFont="1" applyFill="1"/>
    <xf numFmtId="173" fontId="6" fillId="0" borderId="0" xfId="169" applyNumberFormat="1" applyFont="1" applyFill="1"/>
    <xf numFmtId="173" fontId="6" fillId="0" borderId="3" xfId="169" applyNumberFormat="1" applyFont="1" applyFill="1" applyBorder="1"/>
    <xf numFmtId="43" fontId="6" fillId="0" borderId="3" xfId="169" applyNumberFormat="1" applyFont="1" applyFill="1" applyBorder="1"/>
    <xf numFmtId="1" fontId="6" fillId="0" borderId="0" xfId="167" applyNumberFormat="1" applyFill="1" applyBorder="1" applyAlignment="1">
      <alignment horizontal="center"/>
    </xf>
    <xf numFmtId="43" fontId="14" fillId="0" borderId="0" xfId="105" applyFont="1" applyFill="1" applyAlignment="1"/>
    <xf numFmtId="3" fontId="47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72" fontId="0" fillId="0" borderId="0" xfId="0" applyFill="1" applyAlignment="1"/>
    <xf numFmtId="1" fontId="6" fillId="0" borderId="19" xfId="167" applyNumberFormat="1" applyFill="1" applyBorder="1" applyAlignment="1">
      <alignment horizontal="center"/>
    </xf>
    <xf numFmtId="1" fontId="6" fillId="0" borderId="21" xfId="167" applyNumberFormat="1" applyFill="1" applyBorder="1" applyAlignment="1">
      <alignment horizontal="center"/>
    </xf>
    <xf numFmtId="1" fontId="6" fillId="0" borderId="22" xfId="167" applyNumberFormat="1" applyFill="1" applyBorder="1" applyAlignment="1">
      <alignment horizontal="center"/>
    </xf>
    <xf numFmtId="0" fontId="6" fillId="0" borderId="19" xfId="167" applyFill="1" applyBorder="1"/>
    <xf numFmtId="0" fontId="6" fillId="0" borderId="0" xfId="170" applyFill="1" applyAlignment="1">
      <alignment horizontal="center"/>
    </xf>
    <xf numFmtId="172" fontId="6" fillId="0" borderId="0" xfId="0" applyFont="1" applyFill="1" applyAlignment="1">
      <alignment horizontal="right"/>
    </xf>
    <xf numFmtId="0" fontId="6" fillId="0" borderId="0" xfId="168" applyFont="1" applyFill="1" applyAlignment="1">
      <alignment horizontal="center"/>
    </xf>
    <xf numFmtId="3" fontId="10" fillId="0" borderId="0" xfId="172" applyNumberFormat="1" applyFont="1" applyFill="1"/>
    <xf numFmtId="10" fontId="6" fillId="0" borderId="0" xfId="178" applyNumberForma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/>
    <xf numFmtId="10" fontId="3" fillId="0" borderId="0" xfId="178" applyNumberFormat="1" applyFont="1" applyFill="1" applyAlignment="1"/>
    <xf numFmtId="0" fontId="14" fillId="0" borderId="0" xfId="169" applyFont="1" applyFill="1"/>
    <xf numFmtId="176" fontId="6" fillId="0" borderId="0" xfId="169" applyNumberFormat="1" applyFill="1"/>
    <xf numFmtId="3" fontId="97" fillId="0" borderId="0" xfId="0" applyNumberFormat="1" applyFont="1" applyFill="1" applyAlignment="1">
      <alignment horizontal="center"/>
    </xf>
    <xf numFmtId="172" fontId="1" fillId="0" borderId="0" xfId="0" applyFont="1" applyFill="1" applyAlignment="1"/>
    <xf numFmtId="0" fontId="3" fillId="0" borderId="0" xfId="105" applyNumberFormat="1" applyFont="1" applyFill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173" fontId="3" fillId="0" borderId="4" xfId="105" applyNumberFormat="1" applyFont="1" applyFill="1" applyBorder="1" applyAlignment="1"/>
    <xf numFmtId="0" fontId="0" fillId="0" borderId="0" xfId="0" applyNumberFormat="1" applyFill="1"/>
    <xf numFmtId="1" fontId="6" fillId="0" borderId="25" xfId="167" applyNumberFormat="1" applyFill="1" applyBorder="1" applyAlignment="1">
      <alignment horizontal="center"/>
    </xf>
    <xf numFmtId="173" fontId="1" fillId="0" borderId="0" xfId="105" applyNumberFormat="1" applyFont="1" applyFill="1" applyAlignment="1"/>
    <xf numFmtId="172" fontId="0" fillId="0" borderId="0" xfId="0" applyFill="1" applyAlignment="1">
      <alignment horizontal="left" indent="1"/>
    </xf>
    <xf numFmtId="44" fontId="0" fillId="0" borderId="0" xfId="112" applyFont="1" applyFill="1"/>
    <xf numFmtId="0" fontId="6" fillId="0" borderId="0" xfId="169" applyFill="1" applyAlignment="1">
      <alignment horizontal="center"/>
    </xf>
    <xf numFmtId="0" fontId="6" fillId="0" borderId="0" xfId="169" applyFill="1" applyAlignment="1">
      <alignment horizontal="right"/>
    </xf>
    <xf numFmtId="0" fontId="14" fillId="0" borderId="0" xfId="169" applyFont="1" applyFill="1" applyAlignment="1">
      <alignment horizontal="center"/>
    </xf>
    <xf numFmtId="174" fontId="6" fillId="0" borderId="0" xfId="112" applyNumberFormat="1" applyFont="1" applyFill="1"/>
    <xf numFmtId="0" fontId="6" fillId="0" borderId="3" xfId="169" applyFill="1" applyBorder="1" applyAlignment="1">
      <alignment horizontal="center"/>
    </xf>
    <xf numFmtId="0" fontId="6" fillId="0" borderId="3" xfId="169" applyFill="1" applyBorder="1"/>
    <xf numFmtId="0" fontId="6" fillId="0" borderId="3" xfId="169" applyFont="1" applyFill="1" applyBorder="1" applyAlignment="1">
      <alignment horizontal="center"/>
    </xf>
    <xf numFmtId="0" fontId="6" fillId="0" borderId="0" xfId="169" applyFill="1" applyAlignment="1">
      <alignment horizontal="center" wrapText="1"/>
    </xf>
    <xf numFmtId="0" fontId="6" fillId="0" borderId="0" xfId="169" applyFont="1" applyFill="1" applyAlignment="1">
      <alignment horizontal="center"/>
    </xf>
    <xf numFmtId="0" fontId="6" fillId="0" borderId="0" xfId="169" applyFont="1" applyFill="1" applyAlignment="1">
      <alignment horizontal="center" wrapText="1"/>
    </xf>
    <xf numFmtId="44" fontId="6" fillId="0" borderId="0" xfId="112" applyNumberFormat="1" applyFill="1"/>
    <xf numFmtId="170" fontId="6" fillId="0" borderId="0" xfId="178" applyNumberFormat="1" applyFont="1" applyFill="1" applyAlignment="1">
      <alignment horizontal="right"/>
    </xf>
    <xf numFmtId="3" fontId="6" fillId="0" borderId="0" xfId="169" applyNumberFormat="1" applyFill="1"/>
    <xf numFmtId="9" fontId="6" fillId="0" borderId="0" xfId="178" applyFill="1"/>
    <xf numFmtId="44" fontId="6" fillId="0" borderId="0" xfId="169" applyNumberFormat="1" applyFill="1"/>
    <xf numFmtId="41" fontId="6" fillId="0" borderId="0" xfId="169" applyNumberFormat="1" applyFill="1"/>
    <xf numFmtId="0" fontId="6" fillId="0" borderId="3" xfId="169" applyFont="1" applyFill="1" applyBorder="1"/>
    <xf numFmtId="44" fontId="6" fillId="0" borderId="3" xfId="169" applyNumberFormat="1" applyFont="1" applyFill="1" applyBorder="1"/>
    <xf numFmtId="170" fontId="6" fillId="0" borderId="3" xfId="178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78" applyFont="1" applyFill="1" applyAlignment="1">
      <alignment horizontal="right"/>
    </xf>
    <xf numFmtId="174" fontId="6" fillId="0" borderId="0" xfId="169" applyNumberFormat="1" applyFont="1" applyFill="1"/>
    <xf numFmtId="0" fontId="6" fillId="0" borderId="3" xfId="169" applyFill="1" applyBorder="1" applyAlignment="1">
      <alignment horizontal="center" wrapText="1"/>
    </xf>
    <xf numFmtId="0" fontId="6" fillId="0" borderId="26" xfId="169" applyFill="1" applyBorder="1"/>
    <xf numFmtId="0" fontId="6" fillId="0" borderId="6" xfId="169" applyFill="1" applyBorder="1"/>
    <xf numFmtId="0" fontId="6" fillId="0" borderId="27" xfId="169" applyFill="1" applyBorder="1"/>
    <xf numFmtId="174" fontId="6" fillId="0" borderId="0" xfId="169" applyNumberFormat="1" applyFill="1"/>
    <xf numFmtId="175" fontId="17" fillId="0" borderId="0" xfId="169" applyNumberFormat="1" applyFont="1" applyFill="1"/>
    <xf numFmtId="0" fontId="6" fillId="0" borderId="28" xfId="169" applyFill="1" applyBorder="1"/>
    <xf numFmtId="0" fontId="6" fillId="0" borderId="0" xfId="169" applyFill="1" applyBorder="1"/>
    <xf numFmtId="0" fontId="6" fillId="0" borderId="29" xfId="169" applyFill="1" applyBorder="1"/>
    <xf numFmtId="42" fontId="6" fillId="0" borderId="0" xfId="169" applyNumberFormat="1" applyFill="1"/>
    <xf numFmtId="42" fontId="6" fillId="0" borderId="3" xfId="169" applyNumberFormat="1" applyFill="1" applyBorder="1"/>
    <xf numFmtId="174" fontId="6" fillId="0" borderId="3" xfId="169" applyNumberFormat="1" applyFill="1" applyBorder="1"/>
    <xf numFmtId="0" fontId="6" fillId="0" borderId="30" xfId="169" applyFill="1" applyBorder="1"/>
    <xf numFmtId="0" fontId="6" fillId="0" borderId="4" xfId="169" applyFill="1" applyBorder="1"/>
    <xf numFmtId="0" fontId="6" fillId="0" borderId="31" xfId="169" applyFill="1" applyBorder="1"/>
    <xf numFmtId="43" fontId="6" fillId="0" borderId="0" xfId="169" applyNumberFormat="1" applyFill="1"/>
    <xf numFmtId="173" fontId="6" fillId="0" borderId="0" xfId="169" applyNumberFormat="1" applyFill="1"/>
    <xf numFmtId="44" fontId="6" fillId="0" borderId="0" xfId="112" applyFill="1"/>
    <xf numFmtId="0" fontId="6" fillId="0" borderId="0" xfId="169" quotePrefix="1" applyFill="1"/>
    <xf numFmtId="180" fontId="6" fillId="0" borderId="0" xfId="112" applyNumberFormat="1" applyFill="1"/>
    <xf numFmtId="181" fontId="6" fillId="0" borderId="0" xfId="112" applyNumberFormat="1" applyFill="1"/>
    <xf numFmtId="0" fontId="6" fillId="0" borderId="0" xfId="172" applyFont="1" applyFill="1"/>
    <xf numFmtId="0" fontId="13" fillId="0" borderId="0" xfId="172" applyFont="1" applyFill="1" applyAlignment="1">
      <alignment horizontal="right"/>
    </xf>
    <xf numFmtId="0" fontId="14" fillId="0" borderId="0" xfId="172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10" fillId="0" borderId="0" xfId="172" applyFont="1" applyFill="1" applyBorder="1" applyAlignment="1">
      <alignment horizontal="center"/>
    </xf>
    <xf numFmtId="0" fontId="10" fillId="0" borderId="4" xfId="172" applyFont="1" applyFill="1" applyBorder="1" applyAlignment="1">
      <alignment horizontal="center"/>
    </xf>
    <xf numFmtId="0" fontId="8" fillId="0" borderId="0" xfId="172" applyFont="1" applyFill="1"/>
    <xf numFmtId="0" fontId="8" fillId="0" borderId="0" xfId="172" applyFont="1" applyFill="1" applyAlignment="1">
      <alignment horizontal="left"/>
    </xf>
    <xf numFmtId="0" fontId="5" fillId="0" borderId="0" xfId="172" applyFont="1" applyFill="1"/>
    <xf numFmtId="0" fontId="9" fillId="0" borderId="0" xfId="172" applyFont="1" applyFill="1"/>
    <xf numFmtId="0" fontId="11" fillId="0" borderId="0" xfId="172" applyFont="1" applyFill="1" applyAlignment="1">
      <alignment horizontal="center"/>
    </xf>
    <xf numFmtId="0" fontId="11" fillId="0" borderId="0" xfId="172" applyFont="1" applyFill="1"/>
    <xf numFmtId="0" fontId="10" fillId="0" borderId="0" xfId="171" applyFont="1" applyFill="1"/>
    <xf numFmtId="0" fontId="14" fillId="0" borderId="0" xfId="169" applyFont="1" applyFill="1" applyAlignment="1">
      <alignment horizontal="right"/>
    </xf>
    <xf numFmtId="172" fontId="18" fillId="0" borderId="0" xfId="0" applyFont="1" applyFill="1" applyAlignment="1">
      <alignment horizontal="center"/>
    </xf>
    <xf numFmtId="172" fontId="18" fillId="0" borderId="4" xfId="0" applyFont="1" applyFill="1" applyBorder="1" applyAlignment="1">
      <alignment horizontal="center"/>
    </xf>
    <xf numFmtId="0" fontId="6" fillId="0" borderId="32" xfId="167" applyFill="1" applyBorder="1" applyAlignment="1">
      <alignment horizontal="center"/>
    </xf>
    <xf numFmtId="0" fontId="6" fillId="0" borderId="33" xfId="167" applyFill="1" applyBorder="1" applyAlignment="1">
      <alignment horizontal="center"/>
    </xf>
    <xf numFmtId="0" fontId="6" fillId="0" borderId="34" xfId="167" applyFill="1" applyBorder="1" applyAlignment="1">
      <alignment horizontal="center"/>
    </xf>
    <xf numFmtId="0" fontId="6" fillId="0" borderId="35" xfId="167" applyFill="1" applyBorder="1" applyAlignment="1">
      <alignment horizontal="center"/>
    </xf>
    <xf numFmtId="0" fontId="6" fillId="0" borderId="36" xfId="167" applyFill="1" applyBorder="1" applyAlignment="1">
      <alignment horizontal="center"/>
    </xf>
    <xf numFmtId="0" fontId="6" fillId="0" borderId="37" xfId="167" applyFill="1" applyBorder="1" applyAlignment="1">
      <alignment horizontal="center"/>
    </xf>
    <xf numFmtId="0" fontId="6" fillId="0" borderId="33" xfId="167" applyFill="1" applyBorder="1"/>
    <xf numFmtId="0" fontId="6" fillId="0" borderId="25" xfId="167" applyFont="1" applyFill="1" applyBorder="1"/>
    <xf numFmtId="0" fontId="6" fillId="0" borderId="9" xfId="167" applyFill="1" applyBorder="1"/>
    <xf numFmtId="1" fontId="6" fillId="0" borderId="38" xfId="167" applyNumberFormat="1" applyFill="1" applyBorder="1" applyAlignment="1">
      <alignment horizontal="center"/>
    </xf>
    <xf numFmtId="1" fontId="6" fillId="0" borderId="9" xfId="167" applyNumberFormat="1" applyFill="1" applyBorder="1" applyAlignment="1">
      <alignment horizontal="center"/>
    </xf>
    <xf numFmtId="1" fontId="6" fillId="0" borderId="32" xfId="167" applyNumberFormat="1" applyFill="1" applyBorder="1" applyAlignment="1">
      <alignment horizontal="center"/>
    </xf>
    <xf numFmtId="0" fontId="6" fillId="0" borderId="0" xfId="167" applyFont="1" applyFill="1"/>
    <xf numFmtId="1" fontId="6" fillId="0" borderId="33" xfId="167" applyNumberFormat="1" applyFill="1" applyBorder="1" applyAlignment="1">
      <alignment horizontal="center"/>
    </xf>
    <xf numFmtId="1" fontId="6" fillId="0" borderId="34" xfId="167" applyNumberFormat="1" applyFill="1" applyBorder="1" applyAlignment="1">
      <alignment horizontal="center"/>
    </xf>
    <xf numFmtId="10" fontId="6" fillId="0" borderId="0" xfId="167" applyNumberFormat="1" applyFill="1"/>
    <xf numFmtId="43" fontId="6" fillId="0" borderId="0" xfId="105" applyFill="1"/>
    <xf numFmtId="10" fontId="6" fillId="0" borderId="0" xfId="167" applyNumberFormat="1" applyFill="1" applyBorder="1" applyAlignment="1">
      <alignment horizontal="center"/>
    </xf>
    <xf numFmtId="0" fontId="6" fillId="0" borderId="0" xfId="167" applyFill="1" applyAlignment="1"/>
    <xf numFmtId="172" fontId="3" fillId="0" borderId="0" xfId="0" applyFont="1" applyFill="1" applyAlignment="1">
      <alignment horizontal="right"/>
    </xf>
    <xf numFmtId="172" fontId="1" fillId="0" borderId="0" xfId="0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172" fontId="22" fillId="0" borderId="0" xfId="0" applyFont="1" applyFill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0" fontId="3" fillId="0" borderId="0" xfId="0" applyNumberFormat="1" applyFont="1" applyFill="1" applyAlignment="1">
      <alignment horizontal="fill"/>
    </xf>
    <xf numFmtId="44" fontId="6" fillId="0" borderId="0" xfId="170" applyNumberFormat="1" applyFill="1"/>
    <xf numFmtId="0" fontId="6" fillId="0" borderId="0" xfId="170" applyFont="1" applyFill="1" applyAlignment="1">
      <alignment horizontal="center"/>
    </xf>
    <xf numFmtId="44" fontId="6" fillId="0" borderId="0" xfId="170" applyNumberFormat="1" applyFill="1" applyAlignment="1">
      <alignment horizontal="center"/>
    </xf>
    <xf numFmtId="0" fontId="6" fillId="0" borderId="4" xfId="170" applyFont="1" applyFill="1" applyBorder="1" applyAlignment="1">
      <alignment horizontal="center"/>
    </xf>
    <xf numFmtId="0" fontId="6" fillId="0" borderId="4" xfId="170" applyFont="1" applyFill="1" applyBorder="1"/>
    <xf numFmtId="44" fontId="6" fillId="0" borderId="4" xfId="170" applyNumberFormat="1" applyFont="1" applyFill="1" applyBorder="1" applyAlignment="1">
      <alignment horizontal="center"/>
    </xf>
    <xf numFmtId="0" fontId="14" fillId="0" borderId="0" xfId="170" applyFont="1" applyFill="1"/>
    <xf numFmtId="10" fontId="6" fillId="0" borderId="0" xfId="170" applyNumberFormat="1" applyFont="1" applyFill="1"/>
    <xf numFmtId="0" fontId="6" fillId="0" borderId="0" xfId="170" applyFont="1" applyFill="1" applyAlignment="1">
      <alignment horizontal="right"/>
    </xf>
    <xf numFmtId="208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173" fontId="18" fillId="0" borderId="0" xfId="105" applyNumberFormat="1" applyFont="1" applyFill="1" applyAlignment="1"/>
    <xf numFmtId="172" fontId="12" fillId="0" borderId="0" xfId="0" applyFont="1" applyFill="1" applyAlignment="1"/>
    <xf numFmtId="43" fontId="14" fillId="0" borderId="0" xfId="105" applyNumberFormat="1" applyFont="1" applyFill="1" applyAlignment="1"/>
    <xf numFmtId="7" fontId="14" fillId="0" borderId="6" xfId="0" applyNumberFormat="1" applyFont="1" applyFill="1" applyBorder="1" applyAlignment="1"/>
    <xf numFmtId="172" fontId="16" fillId="0" borderId="0" xfId="0" applyFont="1" applyFill="1" applyAlignment="1"/>
    <xf numFmtId="172" fontId="16" fillId="0" borderId="4" xfId="0" applyFont="1" applyFill="1" applyBorder="1" applyAlignment="1">
      <alignment horizontal="center"/>
    </xf>
    <xf numFmtId="172" fontId="16" fillId="0" borderId="0" xfId="0" applyFont="1" applyFill="1" applyBorder="1" applyAlignment="1"/>
    <xf numFmtId="184" fontId="18" fillId="0" borderId="0" xfId="178" applyNumberFormat="1" applyFont="1" applyFill="1" applyAlignment="1"/>
    <xf numFmtId="184" fontId="18" fillId="0" borderId="6" xfId="178" applyNumberFormat="1" applyFont="1" applyFill="1" applyBorder="1" applyAlignment="1"/>
    <xf numFmtId="172" fontId="0" fillId="0" borderId="0" xfId="0" applyFill="1" applyAlignment="1">
      <alignment horizontal="right"/>
    </xf>
    <xf numFmtId="208" fontId="0" fillId="0" borderId="0" xfId="0" applyNumberFormat="1" applyFill="1" applyAlignment="1">
      <alignment horizontal="right"/>
    </xf>
    <xf numFmtId="172" fontId="2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165" fontId="3" fillId="0" borderId="0" xfId="0" applyNumberFormat="1" applyFont="1" applyFill="1" applyAlignment="1"/>
    <xf numFmtId="185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73" fontId="3" fillId="0" borderId="3" xfId="105" applyNumberFormat="1" applyFont="1" applyFill="1" applyBorder="1" applyAlignment="1"/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39" xfId="0" applyNumberFormat="1" applyFont="1" applyFill="1" applyBorder="1" applyAlignment="1"/>
    <xf numFmtId="208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1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3" fontId="3" fillId="0" borderId="40" xfId="0" applyNumberFormat="1" applyFont="1" applyFill="1" applyBorder="1" applyAlignment="1"/>
    <xf numFmtId="208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/>
    <xf numFmtId="3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85" fontId="3" fillId="0" borderId="0" xfId="0" applyNumberFormat="1" applyFont="1" applyFill="1" applyAlignment="1">
      <alignment horizontal="right"/>
    </xf>
    <xf numFmtId="3" fontId="3" fillId="0" borderId="0" xfId="162" applyNumberFormat="1" applyFont="1" applyFill="1" applyAlignment="1"/>
    <xf numFmtId="172" fontId="3" fillId="0" borderId="6" xfId="0" applyFont="1" applyFill="1" applyBorder="1" applyAlignment="1"/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0" fontId="3" fillId="0" borderId="6" xfId="0" applyNumberFormat="1" applyFont="1" applyFill="1" applyBorder="1" applyProtection="1">
      <protection locked="0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Alignment="1"/>
    <xf numFmtId="6" fontId="3" fillId="0" borderId="0" xfId="172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9" fontId="3" fillId="0" borderId="0" xfId="178" applyFont="1" applyFill="1" applyAlignment="1"/>
    <xf numFmtId="10" fontId="3" fillId="0" borderId="0" xfId="178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78" applyFont="1" applyFill="1" applyBorder="1" applyAlignment="1"/>
    <xf numFmtId="10" fontId="3" fillId="0" borderId="0" xfId="178" applyNumberFormat="1" applyFont="1" applyFill="1"/>
    <xf numFmtId="0" fontId="43" fillId="0" borderId="0" xfId="0" applyNumberFormat="1" applyFont="1" applyFill="1"/>
    <xf numFmtId="0" fontId="3" fillId="0" borderId="4" xfId="0" applyNumberFormat="1" applyFont="1" applyFill="1" applyBorder="1" applyAlignment="1"/>
    <xf numFmtId="172" fontId="43" fillId="0" borderId="0" xfId="0" applyFont="1" applyFill="1" applyAlignment="1"/>
    <xf numFmtId="0" fontId="3" fillId="0" borderId="0" xfId="0" quotePrefix="1" applyNumberFormat="1" applyFont="1" applyFill="1"/>
    <xf numFmtId="49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/>
    <xf numFmtId="3" fontId="3" fillId="0" borderId="0" xfId="0" quotePrefix="1" applyNumberFormat="1" applyFont="1" applyFill="1" applyAlignment="1"/>
    <xf numFmtId="10" fontId="3" fillId="0" borderId="3" xfId="178" applyNumberFormat="1" applyFont="1" applyFill="1" applyBorder="1" applyAlignment="1"/>
    <xf numFmtId="208" fontId="3" fillId="0" borderId="0" xfId="178" applyNumberFormat="1" applyFont="1" applyFill="1" applyAlignment="1">
      <alignment horizontal="right"/>
    </xf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43" fontId="3" fillId="0" borderId="0" xfId="105" applyFont="1" applyFill="1" applyProtection="1">
      <protection locked="0"/>
    </xf>
    <xf numFmtId="178" fontId="0" fillId="0" borderId="0" xfId="105" applyNumberFormat="1" applyFont="1" applyFill="1" applyAlignment="1"/>
    <xf numFmtId="178" fontId="2" fillId="0" borderId="0" xfId="105" applyNumberFormat="1" applyFont="1" applyFill="1" applyAlignment="1"/>
    <xf numFmtId="43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3" fontId="3" fillId="30" borderId="0" xfId="0" applyNumberFormat="1" applyFont="1" applyFill="1" applyAlignment="1"/>
    <xf numFmtId="173" fontId="3" fillId="30" borderId="0" xfId="105" applyNumberFormat="1" applyFont="1" applyFill="1" applyAlignment="1"/>
    <xf numFmtId="173" fontId="3" fillId="30" borderId="3" xfId="105" applyNumberFormat="1" applyFont="1" applyFill="1" applyBorder="1" applyAlignment="1"/>
    <xf numFmtId="172" fontId="95" fillId="0" borderId="0" xfId="0" applyFont="1"/>
    <xf numFmtId="172" fontId="0" fillId="0" borderId="0" xfId="0"/>
    <xf numFmtId="173" fontId="3" fillId="0" borderId="0" xfId="105" applyNumberFormat="1" applyFont="1"/>
    <xf numFmtId="173" fontId="0" fillId="0" borderId="0" xfId="105" applyNumberFormat="1" applyFont="1"/>
    <xf numFmtId="3" fontId="3" fillId="0" borderId="0" xfId="0" applyNumberFormat="1" applyFont="1"/>
    <xf numFmtId="186" fontId="3" fillId="0" borderId="0" xfId="0" applyNumberFormat="1" applyFont="1" applyAlignment="1">
      <alignment horizontal="center"/>
    </xf>
    <xf numFmtId="173" fontId="3" fillId="0" borderId="0" xfId="105" applyNumberFormat="1" applyFont="1" applyAlignment="1">
      <alignment horizontal="center"/>
    </xf>
    <xf numFmtId="173" fontId="3" fillId="0" borderId="6" xfId="105" applyNumberFormat="1" applyFont="1" applyBorder="1"/>
    <xf numFmtId="3" fontId="47" fillId="0" borderId="0" xfId="0" applyNumberFormat="1" applyFont="1"/>
    <xf numFmtId="3" fontId="44" fillId="0" borderId="0" xfId="0" applyNumberFormat="1" applyFont="1"/>
    <xf numFmtId="173" fontId="0" fillId="0" borderId="4" xfId="105" applyNumberFormat="1" applyFont="1" applyBorder="1"/>
    <xf numFmtId="3" fontId="3" fillId="30" borderId="0" xfId="0" applyNumberFormat="1" applyFont="1" applyFill="1"/>
    <xf numFmtId="0" fontId="14" fillId="0" borderId="0" xfId="169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0" fontId="14" fillId="0" borderId="0" xfId="170" applyFont="1" applyFill="1" applyAlignment="1">
      <alignment horizontal="center"/>
    </xf>
    <xf numFmtId="172" fontId="0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5" fillId="0" borderId="41" xfId="169" applyFont="1" applyFill="1" applyBorder="1" applyAlignment="1">
      <alignment horizontal="center"/>
    </xf>
    <xf numFmtId="0" fontId="5" fillId="0" borderId="10" xfId="169" applyFont="1" applyFill="1" applyBorder="1" applyAlignment="1">
      <alignment horizontal="center"/>
    </xf>
    <xf numFmtId="0" fontId="5" fillId="0" borderId="42" xfId="169" applyFont="1" applyFill="1" applyBorder="1" applyAlignment="1">
      <alignment horizontal="center"/>
    </xf>
    <xf numFmtId="0" fontId="14" fillId="0" borderId="0" xfId="172" applyFont="1" applyFill="1" applyAlignment="1">
      <alignment horizontal="center"/>
    </xf>
  </cellXfs>
  <cellStyles count="242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 5" xfId="110"/>
    <cellStyle name="Comma0 - Style1" xfId="111"/>
    <cellStyle name="Currency" xfId="112" builtinId="4"/>
    <cellStyle name="Currency 2" xfId="113"/>
    <cellStyle name="Currency 3" xfId="114"/>
    <cellStyle name="Date" xfId="115"/>
    <cellStyle name="Euro" xfId="116"/>
    <cellStyle name="Explanatory Text" xfId="117" builtinId="53" customBuiltin="1"/>
    <cellStyle name="Explanatory Text 2" xfId="118"/>
    <cellStyle name="Fixed" xfId="119"/>
    <cellStyle name="Fixed1 - Style1" xfId="120"/>
    <cellStyle name="Gilsans" xfId="121"/>
    <cellStyle name="Gilsansl" xfId="122"/>
    <cellStyle name="Good" xfId="123" builtinId="26" customBuiltin="1"/>
    <cellStyle name="Good 2" xfId="124"/>
    <cellStyle name="Grey" xfId="125"/>
    <cellStyle name="HEADER" xfId="126"/>
    <cellStyle name="Header1" xfId="127"/>
    <cellStyle name="Header2" xfId="128"/>
    <cellStyle name="Heading" xfId="129"/>
    <cellStyle name="Heading 1" xfId="130" builtinId="16" customBuiltin="1"/>
    <cellStyle name="Heading 1 2" xfId="131"/>
    <cellStyle name="Heading 2" xfId="132" builtinId="17" customBuiltin="1"/>
    <cellStyle name="Heading 2 2" xfId="133"/>
    <cellStyle name="Heading 3" xfId="134" builtinId="18" customBuiltin="1"/>
    <cellStyle name="Heading 3 2" xfId="135"/>
    <cellStyle name="Heading 4" xfId="136" builtinId="19" customBuiltin="1"/>
    <cellStyle name="Heading 4 2" xfId="137"/>
    <cellStyle name="Heading1" xfId="138"/>
    <cellStyle name="Heading2" xfId="139"/>
    <cellStyle name="HIGHLIGHT" xfId="140"/>
    <cellStyle name="Input" xfId="141" builtinId="20" customBuiltin="1"/>
    <cellStyle name="Input [yellow]" xfId="142"/>
    <cellStyle name="Input 2" xfId="143"/>
    <cellStyle name="Lines" xfId="144"/>
    <cellStyle name="Linked Cell" xfId="145" builtinId="24" customBuiltin="1"/>
    <cellStyle name="Linked Cell 2" xfId="146"/>
    <cellStyle name="MEM SSN" xfId="147"/>
    <cellStyle name="Mine" xfId="148"/>
    <cellStyle name="mmm-yy" xfId="149"/>
    <cellStyle name="Monétaire [0]_pldt" xfId="150"/>
    <cellStyle name="Monétaire_pldt" xfId="151"/>
    <cellStyle name="Neutral" xfId="152" builtinId="28" customBuiltin="1"/>
    <cellStyle name="Neutral 2" xfId="153"/>
    <cellStyle name="New" xfId="154"/>
    <cellStyle name="No Border" xfId="155"/>
    <cellStyle name="no dec" xfId="156"/>
    <cellStyle name="Normal" xfId="0" builtinId="0"/>
    <cellStyle name="Normal - Style1" xfId="157"/>
    <cellStyle name="Normal 2" xfId="158"/>
    <cellStyle name="Normal 2 2" xfId="159"/>
    <cellStyle name="Normal 3" xfId="160"/>
    <cellStyle name="Normal 3 2" xfId="161"/>
    <cellStyle name="Normal 3 5" xfId="162"/>
    <cellStyle name="Normal 4" xfId="163"/>
    <cellStyle name="Normal CEN" xfId="164"/>
    <cellStyle name="Normal Centered" xfId="165"/>
    <cellStyle name="NORMAL CTR" xfId="166"/>
    <cellStyle name="Normal_2002 AREA LOADS FOR JNT TARIFF" xfId="167"/>
    <cellStyle name="Normal_Capital True-up" xfId="168"/>
    <cellStyle name="Normal_CU AC Rate Design" xfId="169"/>
    <cellStyle name="Normal_PRECorp2002HeintzResponse 8-21-03" xfId="170"/>
    <cellStyle name="Normal_Sheet1" xfId="171"/>
    <cellStyle name="Normal_TopSheet Type Ancillaries Worksheet-Updated 81903" xfId="172"/>
    <cellStyle name="Note" xfId="173" builtinId="10" customBuiltin="1"/>
    <cellStyle name="Note 2" xfId="174"/>
    <cellStyle name="nUMBER" xfId="175"/>
    <cellStyle name="Output" xfId="176" builtinId="21" customBuiltin="1"/>
    <cellStyle name="Output 2" xfId="177"/>
    <cellStyle name="Percent" xfId="178" builtinId="5"/>
    <cellStyle name="Percent [2]" xfId="179"/>
    <cellStyle name="Percent 2" xfId="180"/>
    <cellStyle name="PSChar" xfId="181"/>
    <cellStyle name="PSDate" xfId="182"/>
    <cellStyle name="PSDec" xfId="183"/>
    <cellStyle name="PSHeading" xfId="184"/>
    <cellStyle name="PSInt" xfId="185"/>
    <cellStyle name="PSSpacer" xfId="186"/>
    <cellStyle name="R00A" xfId="187"/>
    <cellStyle name="R00B" xfId="188"/>
    <cellStyle name="R00L" xfId="189"/>
    <cellStyle name="R01A" xfId="190"/>
    <cellStyle name="R01B" xfId="191"/>
    <cellStyle name="R01H" xfId="192"/>
    <cellStyle name="R01L" xfId="193"/>
    <cellStyle name="R02A" xfId="194"/>
    <cellStyle name="R02B" xfId="195"/>
    <cellStyle name="R02H" xfId="196"/>
    <cellStyle name="R02L" xfId="197"/>
    <cellStyle name="R03A" xfId="198"/>
    <cellStyle name="R03B" xfId="199"/>
    <cellStyle name="R03H" xfId="200"/>
    <cellStyle name="R03L" xfId="201"/>
    <cellStyle name="R04A" xfId="202"/>
    <cellStyle name="R04B" xfId="203"/>
    <cellStyle name="R04H" xfId="204"/>
    <cellStyle name="R04L" xfId="205"/>
    <cellStyle name="R05A" xfId="206"/>
    <cellStyle name="R05B" xfId="207"/>
    <cellStyle name="R05H" xfId="208"/>
    <cellStyle name="R05L" xfId="209"/>
    <cellStyle name="R06A" xfId="210"/>
    <cellStyle name="R06B" xfId="211"/>
    <cellStyle name="R06H" xfId="212"/>
    <cellStyle name="R06L" xfId="213"/>
    <cellStyle name="R07A" xfId="214"/>
    <cellStyle name="R07B" xfId="215"/>
    <cellStyle name="R07H" xfId="216"/>
    <cellStyle name="R07L" xfId="217"/>
    <cellStyle name="Resource Detail" xfId="218"/>
    <cellStyle name="Shade" xfId="219"/>
    <cellStyle name="single acct" xfId="220"/>
    <cellStyle name="Single Border" xfId="221"/>
    <cellStyle name="Small Page Heading" xfId="222"/>
    <cellStyle name="ssn" xfId="223"/>
    <cellStyle name="Style 1" xfId="224"/>
    <cellStyle name="Style 2" xfId="225"/>
    <cellStyle name="Style 27" xfId="226"/>
    <cellStyle name="Style 28" xfId="227"/>
    <cellStyle name="Table Sub Heading" xfId="228"/>
    <cellStyle name="Table Title" xfId="229"/>
    <cellStyle name="Table Units" xfId="230"/>
    <cellStyle name="Theirs" xfId="231"/>
    <cellStyle name="Times New Roman" xfId="232"/>
    <cellStyle name="Title" xfId="233" builtinId="15" customBuiltin="1"/>
    <cellStyle name="Title 2" xfId="234"/>
    <cellStyle name="Total" xfId="235" builtinId="25" customBuiltin="1"/>
    <cellStyle name="Total 2" xfId="236"/>
    <cellStyle name="Unprot" xfId="237"/>
    <cellStyle name="Unprot$" xfId="238"/>
    <cellStyle name="Unprotect" xfId="239"/>
    <cellStyle name="Warning Text" xfId="240" builtinId="11" customBuiltin="1"/>
    <cellStyle name="Warning Text 2" xfId="24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6"/>
  <sheetViews>
    <sheetView zoomScaleNormal="100" workbookViewId="0">
      <selection activeCell="F20" sqref="F20"/>
    </sheetView>
  </sheetViews>
  <sheetFormatPr defaultColWidth="7.109375" defaultRowHeight="12.75"/>
  <cols>
    <col min="1" max="1" width="3.77734375" style="104" customWidth="1"/>
    <col min="2" max="2" width="7.109375" style="8" customWidth="1"/>
    <col min="3" max="3" width="6.88671875" style="8" customWidth="1"/>
    <col min="4" max="4" width="11.5546875" style="8" customWidth="1"/>
    <col min="5" max="5" width="11.5546875" style="8" bestFit="1" customWidth="1"/>
    <col min="6" max="6" width="12.109375" style="8" customWidth="1"/>
    <col min="7" max="7" width="8.77734375" style="8" bestFit="1" customWidth="1"/>
    <col min="8" max="8" width="9.5546875" style="8" bestFit="1" customWidth="1"/>
    <col min="9" max="9" width="7.109375" style="8" customWidth="1"/>
    <col min="10" max="10" width="8.77734375" style="8" bestFit="1" customWidth="1"/>
    <col min="11" max="11" width="7.109375" style="8" customWidth="1"/>
    <col min="12" max="12" width="11.44140625" style="8" customWidth="1"/>
    <col min="13" max="16384" width="7.109375" style="8"/>
  </cols>
  <sheetData>
    <row r="1" spans="1:11">
      <c r="H1" s="105" t="s">
        <v>455</v>
      </c>
    </row>
    <row r="2" spans="1:11">
      <c r="G2" s="7"/>
    </row>
    <row r="3" spans="1:11" ht="15" customHeight="1">
      <c r="A3" s="304" t="s">
        <v>360</v>
      </c>
      <c r="B3" s="304"/>
      <c r="C3" s="304"/>
      <c r="D3" s="304"/>
      <c r="E3" s="304"/>
      <c r="F3" s="304"/>
      <c r="G3" s="304"/>
      <c r="H3" s="304"/>
    </row>
    <row r="4" spans="1:11" ht="15" customHeight="1">
      <c r="A4" s="304" t="s">
        <v>77</v>
      </c>
      <c r="B4" s="304"/>
      <c r="C4" s="304"/>
      <c r="D4" s="304"/>
      <c r="E4" s="304"/>
      <c r="F4" s="304"/>
      <c r="G4" s="304"/>
      <c r="H4" s="304"/>
    </row>
    <row r="6" spans="1:11">
      <c r="A6" s="90" t="s">
        <v>70</v>
      </c>
    </row>
    <row r="8" spans="1:11">
      <c r="A8" s="104">
        <v>1</v>
      </c>
      <c r="B8" s="7" t="s">
        <v>114</v>
      </c>
      <c r="D8" s="7"/>
      <c r="G8" s="7"/>
      <c r="H8" s="107">
        <v>401990.97</v>
      </c>
      <c r="I8" s="7" t="s">
        <v>456</v>
      </c>
    </row>
    <row r="9" spans="1:11">
      <c r="G9" s="7"/>
      <c r="H9" s="7"/>
    </row>
    <row r="10" spans="1:11" ht="39" thickBot="1">
      <c r="D10" s="108" t="str">
        <f>+B20</f>
        <v>Entity</v>
      </c>
      <c r="E10" s="109"/>
      <c r="F10" s="65" t="s">
        <v>164</v>
      </c>
      <c r="G10" s="110" t="s">
        <v>254</v>
      </c>
      <c r="H10" s="65" t="s">
        <v>362</v>
      </c>
    </row>
    <row r="11" spans="1:11">
      <c r="D11" s="104"/>
      <c r="F11" s="111"/>
      <c r="G11" s="112"/>
      <c r="H11" s="113"/>
    </row>
    <row r="12" spans="1:11">
      <c r="A12" s="104">
        <v>2</v>
      </c>
      <c r="D12" s="8" t="s">
        <v>363</v>
      </c>
      <c r="F12" s="114">
        <f>+L22</f>
        <v>23.514352119310285</v>
      </c>
      <c r="G12" s="115">
        <f>+F12/F$15</f>
        <v>0.55160457106896432</v>
      </c>
      <c r="H12" s="107">
        <f>+H$8*G12</f>
        <v>221740.05658044689</v>
      </c>
      <c r="J12" s="116"/>
      <c r="K12" s="117"/>
    </row>
    <row r="13" spans="1:11">
      <c r="A13" s="104">
        <v>3</v>
      </c>
      <c r="D13" s="8" t="s">
        <v>364</v>
      </c>
      <c r="F13" s="118">
        <f>+L23</f>
        <v>16.933084914198826</v>
      </c>
      <c r="G13" s="115">
        <f>+F13/F$15</f>
        <v>0.39721983380952119</v>
      </c>
      <c r="H13" s="107">
        <f>+H$8*G13</f>
        <v>159678.78629632821</v>
      </c>
      <c r="J13" s="119"/>
      <c r="K13" s="117"/>
    </row>
    <row r="14" spans="1:11" ht="13.5" thickBot="1">
      <c r="A14" s="104">
        <v>4</v>
      </c>
      <c r="D14" s="120" t="s">
        <v>365</v>
      </c>
      <c r="E14" s="120"/>
      <c r="F14" s="121">
        <f>+L24</f>
        <v>2.1815645241491315</v>
      </c>
      <c r="G14" s="122">
        <f>+F14/F$15</f>
        <v>5.1175595121514553E-2</v>
      </c>
      <c r="H14" s="123">
        <f>+H$8*G14</f>
        <v>20572.127123224902</v>
      </c>
      <c r="J14" s="119"/>
      <c r="K14" s="117"/>
    </row>
    <row r="15" spans="1:11">
      <c r="A15" s="104">
        <v>5</v>
      </c>
      <c r="D15" s="8" t="s">
        <v>198</v>
      </c>
      <c r="F15" s="118">
        <f>SUM(F12:F14)</f>
        <v>42.629001557658242</v>
      </c>
      <c r="G15" s="124">
        <f>+F15/F$15</f>
        <v>1</v>
      </c>
      <c r="H15" s="125">
        <f>SUM(H12:H14)</f>
        <v>401990.97</v>
      </c>
      <c r="J15" s="116"/>
    </row>
    <row r="16" spans="1:11">
      <c r="G16" s="7"/>
      <c r="H16" s="7"/>
    </row>
    <row r="17" spans="1:16">
      <c r="G17" s="7"/>
      <c r="H17" s="7"/>
    </row>
    <row r="18" spans="1:16">
      <c r="A18" s="90" t="s">
        <v>366</v>
      </c>
      <c r="E18" s="90" t="s">
        <v>453</v>
      </c>
      <c r="G18" s="7"/>
      <c r="H18" s="7"/>
    </row>
    <row r="19" spans="1:16">
      <c r="G19" s="7"/>
      <c r="H19" s="7"/>
    </row>
    <row r="20" spans="1:16" ht="39" thickBot="1">
      <c r="B20" s="109" t="s">
        <v>367</v>
      </c>
      <c r="C20" s="109"/>
      <c r="D20" s="126" t="s">
        <v>165</v>
      </c>
      <c r="E20" s="126" t="s">
        <v>167</v>
      </c>
      <c r="F20" s="126" t="s">
        <v>368</v>
      </c>
      <c r="G20" s="65" t="s">
        <v>454</v>
      </c>
      <c r="H20" s="65" t="s">
        <v>309</v>
      </c>
    </row>
    <row r="21" spans="1:16">
      <c r="G21" s="7"/>
      <c r="H21" s="7"/>
      <c r="M21" s="127" t="s">
        <v>392</v>
      </c>
      <c r="N21" s="128"/>
      <c r="O21" s="128"/>
      <c r="P21" s="129"/>
    </row>
    <row r="22" spans="1:16">
      <c r="A22" s="104">
        <v>6</v>
      </c>
      <c r="B22" s="8" t="str">
        <f>+D12</f>
        <v>Black Hills</v>
      </c>
      <c r="D22" s="55">
        <f>'True-Up'!J115</f>
        <v>22556905.281872191</v>
      </c>
      <c r="E22" s="130">
        <f>-H12</f>
        <v>-221740.05658044689</v>
      </c>
      <c r="F22" s="130">
        <f>+E22+D22</f>
        <v>22335165.225291744</v>
      </c>
      <c r="G22" s="6">
        <f>+'WP7 CU AC LOADS'!J24*1000</f>
        <v>964000</v>
      </c>
      <c r="H22" s="66">
        <f>+F22/G22</f>
        <v>23.169258532460315</v>
      </c>
      <c r="J22" s="131" t="s">
        <v>119</v>
      </c>
      <c r="L22" s="91">
        <v>23.514352119310285</v>
      </c>
      <c r="M22" s="132" t="s">
        <v>393</v>
      </c>
      <c r="N22" s="133"/>
      <c r="O22" s="133"/>
      <c r="P22" s="134"/>
    </row>
    <row r="23" spans="1:16">
      <c r="A23" s="104">
        <v>7</v>
      </c>
      <c r="B23" s="8" t="str">
        <f>+D13</f>
        <v>Basin Electric</v>
      </c>
      <c r="D23" s="135">
        <v>16482130</v>
      </c>
      <c r="E23" s="130">
        <f>-H13</f>
        <v>-159678.78629632821</v>
      </c>
      <c r="F23" s="130">
        <f>+E23+D23</f>
        <v>16322451.213703671</v>
      </c>
      <c r="G23" s="67">
        <f>+G22</f>
        <v>964000</v>
      </c>
      <c r="H23" s="66">
        <f>+F23/G23</f>
        <v>16.9320033337175</v>
      </c>
      <c r="J23" s="131" t="s">
        <v>119</v>
      </c>
      <c r="L23" s="91">
        <v>16.933084914198826</v>
      </c>
      <c r="M23" s="132" t="s">
        <v>394</v>
      </c>
      <c r="N23" s="133"/>
      <c r="O23" s="133"/>
      <c r="P23" s="134"/>
    </row>
    <row r="24" spans="1:16" ht="13.5" thickBot="1">
      <c r="A24" s="104">
        <v>8</v>
      </c>
      <c r="B24" s="109" t="str">
        <f>+D14</f>
        <v>PRECorp</v>
      </c>
      <c r="C24" s="109"/>
      <c r="D24" s="136">
        <v>2123466</v>
      </c>
      <c r="E24" s="137">
        <f>-H14</f>
        <v>-20572.127123224902</v>
      </c>
      <c r="F24" s="137">
        <f>+E24+D24</f>
        <v>2102893.872876775</v>
      </c>
      <c r="G24" s="68">
        <f>+G23</f>
        <v>964000</v>
      </c>
      <c r="H24" s="69">
        <f>+F24/G24</f>
        <v>2.1814251793327539</v>
      </c>
      <c r="J24" s="131" t="s">
        <v>119</v>
      </c>
      <c r="L24" s="91">
        <v>2.1815645241491315</v>
      </c>
      <c r="M24" s="138" t="s">
        <v>395</v>
      </c>
      <c r="N24" s="139"/>
      <c r="O24" s="139"/>
      <c r="P24" s="140"/>
    </row>
    <row r="25" spans="1:16">
      <c r="A25" s="104">
        <v>9</v>
      </c>
      <c r="B25" s="8" t="s">
        <v>198</v>
      </c>
      <c r="D25" s="130">
        <f>SUM(D22:D24)</f>
        <v>41162501.281872191</v>
      </c>
      <c r="E25" s="130">
        <f>SUM(E22:E24)</f>
        <v>-401990.97</v>
      </c>
      <c r="F25" s="130">
        <f>SUM(F22:F24)</f>
        <v>40760510.311872192</v>
      </c>
      <c r="H25" s="141">
        <f>SUM(H22:H24)</f>
        <v>42.282687045510571</v>
      </c>
    </row>
    <row r="26" spans="1:16">
      <c r="F26" s="130"/>
      <c r="G26" s="142"/>
      <c r="H26" s="141"/>
    </row>
    <row r="27" spans="1:16">
      <c r="A27" s="90" t="s">
        <v>369</v>
      </c>
    </row>
    <row r="28" spans="1:16">
      <c r="A28" s="104">
        <v>10</v>
      </c>
      <c r="D28" s="8" t="s">
        <v>370</v>
      </c>
      <c r="F28" s="143">
        <f>+H25</f>
        <v>42.282687045510571</v>
      </c>
      <c r="G28" s="144" t="s">
        <v>371</v>
      </c>
    </row>
    <row r="29" spans="1:16">
      <c r="A29" s="104">
        <f t="shared" ref="A29:A34" si="0">+A28+1</f>
        <v>11</v>
      </c>
      <c r="D29" s="8" t="s">
        <v>372</v>
      </c>
      <c r="F29" s="114">
        <f>ROUND(F28/12,2)</f>
        <v>3.52</v>
      </c>
      <c r="G29" s="144" t="s">
        <v>373</v>
      </c>
    </row>
    <row r="30" spans="1:16">
      <c r="A30" s="104">
        <f t="shared" si="0"/>
        <v>12</v>
      </c>
      <c r="D30" s="8" t="s">
        <v>374</v>
      </c>
      <c r="F30" s="114">
        <f>ROUND(F28/52,2)</f>
        <v>0.81</v>
      </c>
      <c r="G30" s="144" t="s">
        <v>375</v>
      </c>
    </row>
    <row r="31" spans="1:16">
      <c r="A31" s="104">
        <f t="shared" si="0"/>
        <v>13</v>
      </c>
      <c r="D31" s="8" t="s">
        <v>376</v>
      </c>
      <c r="E31" s="8" t="s">
        <v>377</v>
      </c>
      <c r="F31" s="145">
        <f>+F30/6</f>
        <v>0.13500000000000001</v>
      </c>
      <c r="G31" s="144" t="s">
        <v>378</v>
      </c>
    </row>
    <row r="32" spans="1:16">
      <c r="A32" s="104">
        <f t="shared" si="0"/>
        <v>14</v>
      </c>
      <c r="D32" s="8" t="s">
        <v>379</v>
      </c>
      <c r="E32" s="8" t="s">
        <v>380</v>
      </c>
      <c r="F32" s="145">
        <f>+F30/7</f>
        <v>0.11571428571428573</v>
      </c>
      <c r="G32" s="144" t="s">
        <v>378</v>
      </c>
    </row>
    <row r="33" spans="1:7">
      <c r="A33" s="104">
        <f t="shared" si="0"/>
        <v>15</v>
      </c>
      <c r="D33" s="8" t="s">
        <v>381</v>
      </c>
      <c r="E33" s="8" t="s">
        <v>382</v>
      </c>
      <c r="F33" s="146">
        <f>+F31/16</f>
        <v>8.4375000000000006E-3</v>
      </c>
      <c r="G33" s="144" t="s">
        <v>383</v>
      </c>
    </row>
    <row r="34" spans="1:7">
      <c r="A34" s="104">
        <f t="shared" si="0"/>
        <v>16</v>
      </c>
      <c r="D34" s="8" t="s">
        <v>384</v>
      </c>
      <c r="E34" s="8" t="s">
        <v>385</v>
      </c>
      <c r="F34" s="146">
        <f>+F32/24</f>
        <v>4.821428571428572E-3</v>
      </c>
      <c r="G34" s="144" t="s">
        <v>383</v>
      </c>
    </row>
    <row r="40" spans="1:7">
      <c r="A40" s="90" t="s">
        <v>386</v>
      </c>
    </row>
    <row r="42" spans="1:7">
      <c r="B42" s="8" t="str">
        <f>+D20</f>
        <v>Component Annual Revenue Requirements</v>
      </c>
      <c r="E42" s="130">
        <f>+D25</f>
        <v>41162501.281872191</v>
      </c>
    </row>
    <row r="43" spans="1:7">
      <c r="B43" s="7" t="s">
        <v>361</v>
      </c>
      <c r="E43" s="130">
        <f>+E25</f>
        <v>-401990.97</v>
      </c>
    </row>
    <row r="44" spans="1:7">
      <c r="B44" s="8" t="str">
        <f>+F20</f>
        <v>Net Revenue Requirements</v>
      </c>
      <c r="E44" s="130">
        <f>+F25</f>
        <v>40760510.311872192</v>
      </c>
    </row>
    <row r="45" spans="1:7">
      <c r="B45" s="8" t="str">
        <f>+G20</f>
        <v>Actual 2018 Load</v>
      </c>
      <c r="E45" s="142">
        <f>+G22</f>
        <v>964000</v>
      </c>
    </row>
    <row r="46" spans="1:7">
      <c r="B46" s="8" t="str">
        <f>+H20</f>
        <v>Annual Rate</v>
      </c>
      <c r="E46" s="143">
        <f>+E44/E45</f>
        <v>42.282687045510571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N237"/>
  <sheetViews>
    <sheetView showGridLines="0" tabSelected="1" view="pageBreakPreview" topLeftCell="B107" zoomScale="90" zoomScaleNormal="90" zoomScaleSheetLayoutView="90" workbookViewId="0">
      <selection activeCell="J115" sqref="J115"/>
    </sheetView>
  </sheetViews>
  <sheetFormatPr defaultRowHeight="15"/>
  <cols>
    <col min="1" max="1" width="6" style="76" customWidth="1"/>
    <col min="2" max="2" width="1.44140625" style="76" customWidth="1"/>
    <col min="3" max="3" width="41.109375" style="76" customWidth="1"/>
    <col min="4" max="4" width="34.5546875" style="76" customWidth="1"/>
    <col min="5" max="5" width="15.21875" style="76" customWidth="1"/>
    <col min="6" max="6" width="7.77734375" style="76" customWidth="1"/>
    <col min="7" max="7" width="11.88671875" style="76" bestFit="1" customWidth="1"/>
    <col min="8" max="8" width="14" style="76" customWidth="1"/>
    <col min="9" max="9" width="4.88671875" style="76" customWidth="1"/>
    <col min="10" max="10" width="12.77734375" style="76" customWidth="1"/>
    <col min="11" max="11" width="1.21875" style="76" customWidth="1"/>
    <col min="12" max="12" width="14.44140625" style="76" bestFit="1" customWidth="1"/>
    <col min="13" max="15" width="13.44140625" style="76" bestFit="1" customWidth="1"/>
    <col min="16" max="16384" width="8.88671875" style="76"/>
  </cols>
  <sheetData>
    <row r="1" spans="1:40">
      <c r="I1" s="216" t="s">
        <v>418</v>
      </c>
      <c r="J1" s="217">
        <v>43616</v>
      </c>
    </row>
    <row r="2" spans="1:40" ht="15.75">
      <c r="A2" s="3"/>
      <c r="B2" s="3"/>
      <c r="C2" s="3"/>
      <c r="D2" s="48"/>
      <c r="E2" s="3"/>
      <c r="F2" s="3"/>
      <c r="G2" s="3"/>
      <c r="I2" s="182" t="s">
        <v>166</v>
      </c>
      <c r="J2" s="75">
        <v>2018</v>
      </c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</row>
    <row r="4" spans="1:40" ht="15" customHeight="1">
      <c r="A4" s="305" t="s">
        <v>321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</row>
    <row r="5" spans="1:40" ht="15.75">
      <c r="A5" s="306" t="s">
        <v>195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</row>
    <row r="6" spans="1:40">
      <c r="A6" s="3"/>
      <c r="B6" s="3"/>
      <c r="C6" s="75"/>
      <c r="D6" s="75"/>
      <c r="F6" s="75"/>
      <c r="G6" s="75"/>
      <c r="H6" s="75"/>
      <c r="I6" s="75"/>
      <c r="J6" s="75"/>
      <c r="K6" s="75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</row>
    <row r="7" spans="1:40" ht="15" customHeight="1">
      <c r="A7" s="307" t="s">
        <v>320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</row>
    <row r="8" spans="1:40">
      <c r="A8" s="9"/>
      <c r="B8" s="3"/>
      <c r="C8" s="75"/>
      <c r="D8" s="75"/>
      <c r="E8" s="186"/>
      <c r="F8" s="75"/>
      <c r="G8" s="75"/>
      <c r="H8" s="75"/>
      <c r="I8" s="75"/>
      <c r="J8" s="75"/>
      <c r="K8" s="75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</row>
    <row r="9" spans="1:40">
      <c r="A9" s="3"/>
      <c r="B9" s="3"/>
      <c r="C9" s="187" t="s">
        <v>201</v>
      </c>
      <c r="D9" s="187" t="s">
        <v>202</v>
      </c>
      <c r="E9" s="187" t="s">
        <v>203</v>
      </c>
      <c r="F9" s="1" t="s">
        <v>194</v>
      </c>
      <c r="G9" s="1"/>
      <c r="H9" s="219" t="s">
        <v>204</v>
      </c>
      <c r="I9" s="1"/>
      <c r="J9" s="220" t="s">
        <v>205</v>
      </c>
      <c r="K9" s="1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</row>
    <row r="10" spans="1:40" ht="15.75">
      <c r="A10" s="3"/>
      <c r="B10" s="3"/>
      <c r="C10" s="97"/>
      <c r="D10" s="185" t="s">
        <v>206</v>
      </c>
      <c r="E10" s="1"/>
      <c r="F10" s="1"/>
      <c r="G10" s="221" t="s">
        <v>93</v>
      </c>
      <c r="H10" s="9"/>
      <c r="I10" s="1"/>
      <c r="J10" s="184" t="s">
        <v>207</v>
      </c>
      <c r="K10" s="1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</row>
    <row r="11" spans="1:40" ht="15.75">
      <c r="A11" s="9" t="s">
        <v>196</v>
      </c>
      <c r="B11" s="3"/>
      <c r="C11" s="97"/>
      <c r="D11" s="188" t="s">
        <v>208</v>
      </c>
      <c r="E11" s="184" t="s">
        <v>209</v>
      </c>
      <c r="F11" s="189"/>
      <c r="G11" s="222" t="s">
        <v>83</v>
      </c>
      <c r="H11" s="223"/>
      <c r="I11" s="189"/>
      <c r="J11" s="9" t="s">
        <v>210</v>
      </c>
      <c r="K11" s="1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</row>
    <row r="12" spans="1:40" ht="16.5" thickBot="1">
      <c r="A12" s="191" t="s">
        <v>197</v>
      </c>
      <c r="B12" s="3"/>
      <c r="C12" s="192" t="s">
        <v>211</v>
      </c>
      <c r="D12" s="1"/>
      <c r="E12" s="1"/>
      <c r="F12" s="1"/>
      <c r="G12" s="1"/>
      <c r="H12" s="1"/>
      <c r="I12" s="1"/>
      <c r="J12" s="1"/>
      <c r="K12" s="1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</row>
    <row r="13" spans="1:40">
      <c r="A13" s="9"/>
      <c r="B13" s="3"/>
      <c r="C13" s="97"/>
      <c r="D13" s="1"/>
      <c r="E13" s="1"/>
      <c r="F13" s="1"/>
      <c r="G13" s="1"/>
      <c r="H13" s="1"/>
      <c r="I13" s="1"/>
      <c r="J13" s="1"/>
      <c r="K13" s="1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</row>
    <row r="14" spans="1:40">
      <c r="A14" s="9"/>
      <c r="B14" s="3"/>
      <c r="C14" s="97" t="s">
        <v>212</v>
      </c>
      <c r="D14" s="1" t="s">
        <v>419</v>
      </c>
      <c r="E14" s="1"/>
      <c r="F14" s="1"/>
      <c r="G14" s="1"/>
      <c r="H14" s="1"/>
      <c r="I14" s="1"/>
      <c r="J14" s="1"/>
      <c r="K14" s="1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</row>
    <row r="15" spans="1:40">
      <c r="A15" s="9">
        <v>1</v>
      </c>
      <c r="B15" s="3"/>
      <c r="C15" s="97" t="s">
        <v>213</v>
      </c>
      <c r="D15" s="1" t="s">
        <v>73</v>
      </c>
      <c r="E15" s="1">
        <f>+'WP6 Rate Base'!R15</f>
        <v>589547622.47769225</v>
      </c>
      <c r="F15" s="1"/>
      <c r="G15" s="1" t="s">
        <v>214</v>
      </c>
      <c r="H15" s="224" t="s">
        <v>194</v>
      </c>
      <c r="I15" s="1"/>
      <c r="J15" s="1" t="s">
        <v>194</v>
      </c>
      <c r="K15" s="1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</row>
    <row r="16" spans="1:40">
      <c r="A16" s="9">
        <f>+A15+1</f>
        <v>2</v>
      </c>
      <c r="B16" s="3"/>
      <c r="C16" s="97" t="s">
        <v>215</v>
      </c>
      <c r="D16" s="1" t="s">
        <v>120</v>
      </c>
      <c r="E16" s="1">
        <f>+'WP6 Rate Base'!R16</f>
        <v>192773341.74615386</v>
      </c>
      <c r="F16" s="1"/>
      <c r="G16" s="1" t="s">
        <v>200</v>
      </c>
      <c r="H16" s="224">
        <f>+J143</f>
        <v>0.87458400000000003</v>
      </c>
      <c r="I16" s="1"/>
      <c r="J16" s="1">
        <f>+H16*E16</f>
        <v>168596480.31771824</v>
      </c>
      <c r="K16" s="1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</row>
    <row r="17" spans="1:40">
      <c r="A17" s="9">
        <f t="shared" ref="A17:A62" si="0">+A16+1</f>
        <v>3</v>
      </c>
      <c r="B17" s="3"/>
      <c r="C17" s="97" t="s">
        <v>216</v>
      </c>
      <c r="D17" s="1" t="s">
        <v>121</v>
      </c>
      <c r="E17" s="1">
        <f>+'WP6 Rate Base'!R17</f>
        <v>383755429.39076924</v>
      </c>
      <c r="F17" s="1"/>
      <c r="G17" s="1" t="s">
        <v>214</v>
      </c>
      <c r="H17" s="225"/>
      <c r="I17" s="1"/>
      <c r="J17" s="1"/>
      <c r="K17" s="1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</row>
    <row r="18" spans="1:40">
      <c r="A18" s="9">
        <f t="shared" si="0"/>
        <v>4</v>
      </c>
      <c r="B18" s="3"/>
      <c r="C18" s="97" t="s">
        <v>217</v>
      </c>
      <c r="D18" s="1" t="s">
        <v>420</v>
      </c>
      <c r="E18" s="1">
        <f>+'WP6 Rate Base'!R18</f>
        <v>39422199.28384617</v>
      </c>
      <c r="F18" s="1"/>
      <c r="G18" s="1" t="s">
        <v>218</v>
      </c>
      <c r="H18" s="224">
        <f>J175</f>
        <v>0.12907930019431649</v>
      </c>
      <c r="I18" s="1"/>
      <c r="J18" s="1">
        <f>+H18*E18</f>
        <v>5088589.8956797486</v>
      </c>
      <c r="K18" s="1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</row>
    <row r="19" spans="1:40">
      <c r="A19" s="9">
        <f t="shared" si="0"/>
        <v>5</v>
      </c>
      <c r="B19" s="3"/>
      <c r="C19" s="97" t="s">
        <v>137</v>
      </c>
      <c r="D19" s="1" t="s">
        <v>421</v>
      </c>
      <c r="E19" s="289">
        <v>30310877.023082573</v>
      </c>
      <c r="F19" s="1"/>
      <c r="G19" s="1" t="s">
        <v>218</v>
      </c>
      <c r="H19" s="224">
        <f>+H18</f>
        <v>0.12907930019431649</v>
      </c>
      <c r="I19" s="1"/>
      <c r="J19" s="1">
        <f>+H19*E19</f>
        <v>3912506.7944154856</v>
      </c>
      <c r="K19" s="1"/>
      <c r="L19" s="194" t="s">
        <v>460</v>
      </c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</row>
    <row r="20" spans="1:40">
      <c r="A20" s="9">
        <f t="shared" si="0"/>
        <v>6</v>
      </c>
      <c r="B20" s="3"/>
      <c r="C20" s="97" t="s">
        <v>102</v>
      </c>
      <c r="D20" s="1" t="s">
        <v>420</v>
      </c>
      <c r="E20" s="1">
        <f>+'WP6 Rate Base'!R20</f>
        <v>7701372.7261538459</v>
      </c>
      <c r="F20" s="1"/>
      <c r="G20" s="1" t="s">
        <v>131</v>
      </c>
      <c r="H20" s="224">
        <f>+J181</f>
        <v>0.3254976934954843</v>
      </c>
      <c r="I20" s="1"/>
      <c r="J20" s="1">
        <f>+H20*E20</f>
        <v>2506779.0591121069</v>
      </c>
      <c r="K20" s="1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</row>
    <row r="21" spans="1:40" ht="15.75" thickBot="1">
      <c r="A21" s="9">
        <f t="shared" si="0"/>
        <v>7</v>
      </c>
      <c r="B21" s="3"/>
      <c r="C21" s="97" t="s">
        <v>219</v>
      </c>
      <c r="D21" s="1" t="s">
        <v>220</v>
      </c>
      <c r="E21" s="4">
        <f>+'WP6 Rate Base'!R21</f>
        <v>0</v>
      </c>
      <c r="F21" s="1"/>
      <c r="G21" s="1" t="s">
        <v>251</v>
      </c>
      <c r="H21" s="224">
        <v>0</v>
      </c>
      <c r="I21" s="1"/>
      <c r="J21" s="4">
        <f>+H21*E21</f>
        <v>0</v>
      </c>
      <c r="K21" s="1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</row>
    <row r="22" spans="1:40">
      <c r="A22" s="9">
        <f t="shared" si="0"/>
        <v>8</v>
      </c>
      <c r="B22" s="3"/>
      <c r="C22" s="96" t="s">
        <v>5</v>
      </c>
      <c r="D22" s="1" t="str">
        <f>"(sum lines "&amp;A15&amp;" - "&amp;A21&amp;")"</f>
        <v>(sum lines 1 - 7)</v>
      </c>
      <c r="E22" s="1">
        <f>SUM(E15:E21)</f>
        <v>1243510842.6476979</v>
      </c>
      <c r="F22" s="1"/>
      <c r="G22" s="1" t="s">
        <v>221</v>
      </c>
      <c r="H22" s="226">
        <f>IF(E22&gt;0,+J22/E22,0)</f>
        <v>0.14483537247125666</v>
      </c>
      <c r="I22" s="1"/>
      <c r="J22" s="1">
        <f>SUM(J15:J21)</f>
        <v>180104356.06692556</v>
      </c>
      <c r="K22" s="1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</row>
    <row r="23" spans="1:40">
      <c r="A23" s="9">
        <f t="shared" si="0"/>
        <v>9</v>
      </c>
      <c r="B23" s="3"/>
      <c r="C23" s="97"/>
      <c r="D23" s="1"/>
      <c r="E23" s="1"/>
      <c r="F23" s="1"/>
      <c r="G23" s="1"/>
      <c r="H23" s="226"/>
      <c r="I23" s="1"/>
      <c r="J23" s="1"/>
      <c r="K23" s="1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</row>
    <row r="24" spans="1:40">
      <c r="A24" s="9">
        <f t="shared" si="0"/>
        <v>10</v>
      </c>
      <c r="B24" s="3"/>
      <c r="C24" s="97" t="s">
        <v>222</v>
      </c>
      <c r="D24" s="1" t="s">
        <v>419</v>
      </c>
      <c r="E24" s="1"/>
      <c r="F24" s="1"/>
      <c r="G24" s="1"/>
      <c r="H24" s="1"/>
      <c r="I24" s="1"/>
      <c r="J24" s="1"/>
      <c r="K24" s="1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</row>
    <row r="25" spans="1:40">
      <c r="A25" s="9">
        <f t="shared" si="0"/>
        <v>11</v>
      </c>
      <c r="B25" s="3"/>
      <c r="C25" s="97" t="str">
        <f>+C15</f>
        <v xml:space="preserve">  Production</v>
      </c>
      <c r="D25" s="1" t="s">
        <v>408</v>
      </c>
      <c r="E25" s="1">
        <f>+'WP6 Rate Base'!R25</f>
        <v>195391961.37451798</v>
      </c>
      <c r="F25" s="1"/>
      <c r="G25" s="1" t="str">
        <f>+G15</f>
        <v>NA</v>
      </c>
      <c r="H25" s="224" t="str">
        <f>+H15</f>
        <v xml:space="preserve"> </v>
      </c>
      <c r="I25" s="1"/>
      <c r="J25" s="1" t="s">
        <v>194</v>
      </c>
      <c r="K25" s="1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</row>
    <row r="26" spans="1:40">
      <c r="A26" s="9">
        <f t="shared" si="0"/>
        <v>12</v>
      </c>
      <c r="B26" s="3"/>
      <c r="C26" s="97" t="s">
        <v>215</v>
      </c>
      <c r="D26" s="1" t="s">
        <v>122</v>
      </c>
      <c r="E26" s="289">
        <f>+'WP6 Rate Base'!R26</f>
        <v>47063241.724253803</v>
      </c>
      <c r="F26" s="1"/>
      <c r="G26" s="1" t="s">
        <v>80</v>
      </c>
      <c r="H26" s="224">
        <f>+J161</f>
        <v>0.82296100000000005</v>
      </c>
      <c r="I26" s="1"/>
      <c r="J26" s="1">
        <f>+H26*E26</f>
        <v>38731212.472633637</v>
      </c>
      <c r="K26" s="1"/>
      <c r="L26" s="194" t="s">
        <v>462</v>
      </c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</row>
    <row r="27" spans="1:40">
      <c r="A27" s="9">
        <f t="shared" si="0"/>
        <v>13</v>
      </c>
      <c r="B27" s="3"/>
      <c r="C27" s="97" t="s">
        <v>216</v>
      </c>
      <c r="D27" s="1" t="s">
        <v>123</v>
      </c>
      <c r="E27" s="1">
        <f>+'WP6 Rate Base'!R27</f>
        <v>137955160.32514957</v>
      </c>
      <c r="F27" s="1"/>
      <c r="G27" s="1" t="s">
        <v>214</v>
      </c>
      <c r="H27" s="224"/>
      <c r="I27" s="1"/>
      <c r="J27" s="1"/>
      <c r="K27" s="1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</row>
    <row r="28" spans="1:40">
      <c r="A28" s="9">
        <f t="shared" si="0"/>
        <v>14</v>
      </c>
      <c r="B28" s="3"/>
      <c r="C28" s="97" t="str">
        <f>+C18</f>
        <v xml:space="preserve">  General &amp; Intangible</v>
      </c>
      <c r="D28" s="1" t="s">
        <v>406</v>
      </c>
      <c r="E28" s="289">
        <f>+'WP6 Rate Base'!R28</f>
        <v>24746413.949082375</v>
      </c>
      <c r="F28" s="1"/>
      <c r="G28" s="1" t="str">
        <f>+G18</f>
        <v>W/S</v>
      </c>
      <c r="H28" s="224">
        <f>+H18</f>
        <v>0.12907930019431649</v>
      </c>
      <c r="I28" s="1"/>
      <c r="J28" s="1">
        <f>+H28*E28</f>
        <v>3194249.794866425</v>
      </c>
      <c r="K28" s="1"/>
      <c r="L28" s="194" t="s">
        <v>462</v>
      </c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</row>
    <row r="29" spans="1:40">
      <c r="A29" s="9">
        <f t="shared" si="0"/>
        <v>15</v>
      </c>
      <c r="B29" s="3"/>
      <c r="C29" s="97" t="s">
        <v>137</v>
      </c>
      <c r="D29" s="1" t="s">
        <v>421</v>
      </c>
      <c r="E29" s="289">
        <v>15005983.122724792</v>
      </c>
      <c r="F29" s="1"/>
      <c r="G29" s="1" t="str">
        <f>+G19</f>
        <v>W/S</v>
      </c>
      <c r="H29" s="224">
        <f>+H28</f>
        <v>0.12907930019431649</v>
      </c>
      <c r="I29" s="1"/>
      <c r="J29" s="1">
        <f>+H29*E29</f>
        <v>1936961.8002090403</v>
      </c>
      <c r="K29" s="1"/>
      <c r="L29" s="194" t="s">
        <v>460</v>
      </c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</row>
    <row r="30" spans="1:40">
      <c r="A30" s="9">
        <f t="shared" si="0"/>
        <v>16</v>
      </c>
      <c r="B30" s="3"/>
      <c r="C30" s="97" t="str">
        <f>+C20</f>
        <v xml:space="preserve">  Communication System</v>
      </c>
      <c r="D30" s="1" t="s">
        <v>420</v>
      </c>
      <c r="E30" s="289">
        <f>+'WP6 Rate Base'!R30</f>
        <v>3978577.1561437058</v>
      </c>
      <c r="F30" s="1"/>
      <c r="G30" s="1" t="str">
        <f>+G20</f>
        <v>T&amp;D</v>
      </c>
      <c r="H30" s="224">
        <f>+H20</f>
        <v>0.3254976934954843</v>
      </c>
      <c r="I30" s="1"/>
      <c r="J30" s="1">
        <f>+H30*E30</f>
        <v>1295017.6877185996</v>
      </c>
      <c r="K30" s="1"/>
      <c r="L30" s="194" t="s">
        <v>462</v>
      </c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</row>
    <row r="31" spans="1:40" ht="15.75" thickBot="1">
      <c r="A31" s="9">
        <f t="shared" si="0"/>
        <v>17</v>
      </c>
      <c r="B31" s="3"/>
      <c r="C31" s="97" t="str">
        <f>+C21</f>
        <v xml:space="preserve">  Common</v>
      </c>
      <c r="D31" s="1" t="s">
        <v>220</v>
      </c>
      <c r="E31" s="4">
        <f>+'WP6 Rate Base'!R31</f>
        <v>0</v>
      </c>
      <c r="F31" s="1"/>
      <c r="G31" s="1" t="str">
        <f>+G21</f>
        <v>CE</v>
      </c>
      <c r="H31" s="224">
        <f>+H21</f>
        <v>0</v>
      </c>
      <c r="I31" s="1"/>
      <c r="J31" s="4">
        <f>+H31*E31</f>
        <v>0</v>
      </c>
      <c r="K31" s="1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</row>
    <row r="32" spans="1:40">
      <c r="A32" s="9">
        <f t="shared" si="0"/>
        <v>18</v>
      </c>
      <c r="B32" s="3"/>
      <c r="C32" s="97" t="s">
        <v>7</v>
      </c>
      <c r="D32" s="1" t="str">
        <f>"(sum lines "&amp;A25&amp;" - "&amp;A31&amp;")"</f>
        <v>(sum lines 11 - 17)</v>
      </c>
      <c r="E32" s="1">
        <f>SUM(E25:E31)</f>
        <v>424141337.65187222</v>
      </c>
      <c r="F32" s="1"/>
      <c r="G32" s="1"/>
      <c r="H32" s="1"/>
      <c r="I32" s="1"/>
      <c r="J32" s="1">
        <f>SUM(J25:J31)</f>
        <v>45157441.755427703</v>
      </c>
      <c r="K32" s="1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</row>
    <row r="33" spans="1:40">
      <c r="A33" s="9">
        <f t="shared" si="0"/>
        <v>19</v>
      </c>
      <c r="B33" s="3"/>
      <c r="C33" s="3"/>
      <c r="D33" s="1" t="s">
        <v>194</v>
      </c>
      <c r="E33" s="3"/>
      <c r="F33" s="1"/>
      <c r="G33" s="1"/>
      <c r="H33" s="226"/>
      <c r="I33" s="1"/>
      <c r="J33" s="3"/>
      <c r="K33" s="1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</row>
    <row r="34" spans="1:40">
      <c r="A34" s="9">
        <f t="shared" si="0"/>
        <v>20</v>
      </c>
      <c r="B34" s="3"/>
      <c r="C34" s="97" t="s">
        <v>223</v>
      </c>
      <c r="D34" s="1" t="s">
        <v>419</v>
      </c>
      <c r="E34" s="1"/>
      <c r="F34" s="1"/>
      <c r="G34" s="1"/>
      <c r="H34" s="1"/>
      <c r="I34" s="1"/>
      <c r="J34" s="1"/>
      <c r="K34" s="1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</row>
    <row r="35" spans="1:40">
      <c r="A35" s="9">
        <f t="shared" si="0"/>
        <v>21</v>
      </c>
      <c r="B35" s="3"/>
      <c r="C35" s="97" t="str">
        <f>+C25</f>
        <v xml:space="preserve">  Production</v>
      </c>
      <c r="D35" s="1" t="str">
        <f t="shared" ref="D35:D41" si="1">"(line "&amp;A15&amp;" - line "&amp;A25&amp;")"</f>
        <v>(line 1 - line 11)</v>
      </c>
      <c r="E35" s="1">
        <f t="shared" ref="E35:E42" si="2">E15-E25</f>
        <v>394155661.10317427</v>
      </c>
      <c r="F35" s="1"/>
      <c r="G35" s="1" t="s">
        <v>91</v>
      </c>
      <c r="H35" s="226"/>
      <c r="I35" s="1"/>
      <c r="J35" s="1" t="s">
        <v>194</v>
      </c>
      <c r="K35" s="1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</row>
    <row r="36" spans="1:40">
      <c r="A36" s="9">
        <f t="shared" si="0"/>
        <v>22</v>
      </c>
      <c r="B36" s="3"/>
      <c r="C36" s="97" t="s">
        <v>215</v>
      </c>
      <c r="D36" s="1" t="str">
        <f t="shared" si="1"/>
        <v>(line 2 - line 12)</v>
      </c>
      <c r="E36" s="1">
        <f t="shared" si="2"/>
        <v>145710100.02190006</v>
      </c>
      <c r="F36" s="1"/>
      <c r="G36" s="1" t="s">
        <v>91</v>
      </c>
      <c r="H36" s="224"/>
      <c r="I36" s="1"/>
      <c r="J36" s="1">
        <f>J16-J26</f>
        <v>129865267.84508461</v>
      </c>
      <c r="K36" s="1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</row>
    <row r="37" spans="1:40">
      <c r="A37" s="9">
        <f t="shared" si="0"/>
        <v>23</v>
      </c>
      <c r="B37" s="3"/>
      <c r="C37" s="97" t="s">
        <v>297</v>
      </c>
      <c r="D37" s="1" t="str">
        <f t="shared" si="1"/>
        <v>(line 3 - line 13)</v>
      </c>
      <c r="E37" s="1">
        <f t="shared" si="2"/>
        <v>245800269.06561968</v>
      </c>
      <c r="F37" s="1"/>
      <c r="G37" s="1" t="s">
        <v>91</v>
      </c>
      <c r="H37" s="226"/>
      <c r="I37" s="1"/>
      <c r="J37" s="1"/>
      <c r="K37" s="1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</row>
    <row r="38" spans="1:40">
      <c r="A38" s="9">
        <f t="shared" si="0"/>
        <v>24</v>
      </c>
      <c r="B38" s="3"/>
      <c r="C38" s="97" t="str">
        <f>+C28</f>
        <v xml:space="preserve">  General &amp; Intangible</v>
      </c>
      <c r="D38" s="1" t="str">
        <f t="shared" si="1"/>
        <v>(line 4 - line 14)</v>
      </c>
      <c r="E38" s="1">
        <f t="shared" si="2"/>
        <v>14675785.334763795</v>
      </c>
      <c r="F38" s="1"/>
      <c r="G38" s="1" t="s">
        <v>91</v>
      </c>
      <c r="H38" s="226"/>
      <c r="I38" s="1"/>
      <c r="J38" s="1">
        <f>J18-J28</f>
        <v>1894340.1008133236</v>
      </c>
      <c r="K38" s="1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</row>
    <row r="39" spans="1:40">
      <c r="A39" s="9">
        <f t="shared" si="0"/>
        <v>25</v>
      </c>
      <c r="B39" s="3"/>
      <c r="C39" s="97" t="s">
        <v>137</v>
      </c>
      <c r="D39" s="1" t="str">
        <f t="shared" si="1"/>
        <v>(line 5 - line 15)</v>
      </c>
      <c r="E39" s="1">
        <f t="shared" si="2"/>
        <v>15304893.900357781</v>
      </c>
      <c r="F39" s="1"/>
      <c r="G39" s="1" t="s">
        <v>91</v>
      </c>
      <c r="H39" s="226"/>
      <c r="I39" s="1"/>
      <c r="J39" s="1">
        <f>J19-J29</f>
        <v>1975544.9942064453</v>
      </c>
      <c r="K39" s="1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</row>
    <row r="40" spans="1:40">
      <c r="A40" s="9">
        <f t="shared" si="0"/>
        <v>26</v>
      </c>
      <c r="B40" s="3"/>
      <c r="C40" s="97" t="str">
        <f>+C30</f>
        <v xml:space="preserve">  Communication System</v>
      </c>
      <c r="D40" s="1" t="str">
        <f t="shared" si="1"/>
        <v>(line 6 - line 16)</v>
      </c>
      <c r="E40" s="1">
        <f t="shared" si="2"/>
        <v>3722795.5700101401</v>
      </c>
      <c r="F40" s="1"/>
      <c r="G40" s="1" t="s">
        <v>91</v>
      </c>
      <c r="H40" s="226"/>
      <c r="I40" s="1"/>
      <c r="J40" s="1">
        <f>J20-J30</f>
        <v>1211761.3713935073</v>
      </c>
      <c r="K40" s="1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</row>
    <row r="41" spans="1:40" ht="15.75" thickBot="1">
      <c r="A41" s="9">
        <f t="shared" si="0"/>
        <v>27</v>
      </c>
      <c r="B41" s="3"/>
      <c r="C41" s="97" t="str">
        <f>+C31</f>
        <v xml:space="preserve">  Common</v>
      </c>
      <c r="D41" s="1" t="str">
        <f t="shared" si="1"/>
        <v>(line 7 - line 17)</v>
      </c>
      <c r="E41" s="4">
        <f t="shared" si="2"/>
        <v>0</v>
      </c>
      <c r="F41" s="1"/>
      <c r="G41" s="1" t="s">
        <v>91</v>
      </c>
      <c r="H41" s="226"/>
      <c r="I41" s="1"/>
      <c r="J41" s="4">
        <f>J21-J31</f>
        <v>0</v>
      </c>
      <c r="K41" s="1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</row>
    <row r="42" spans="1:40">
      <c r="A42" s="9">
        <f t="shared" si="0"/>
        <v>28</v>
      </c>
      <c r="B42" s="3"/>
      <c r="C42" s="97" t="s">
        <v>6</v>
      </c>
      <c r="D42" s="1" t="str">
        <f>"(sum lines "&amp;A35&amp;" - "&amp;A41&amp;")"</f>
        <v>(sum lines 21 - 27)</v>
      </c>
      <c r="E42" s="1">
        <f t="shared" si="2"/>
        <v>819369504.99582577</v>
      </c>
      <c r="F42" s="1"/>
      <c r="G42" s="1" t="s">
        <v>224</v>
      </c>
      <c r="H42" s="226">
        <f>IF(E42&gt;0,+J42/E42,0)</f>
        <v>0.1646960418818435</v>
      </c>
      <c r="I42" s="1"/>
      <c r="J42" s="1">
        <f>SUM(J35:J41)</f>
        <v>134946914.3114979</v>
      </c>
      <c r="K42" s="1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</row>
    <row r="43" spans="1:40">
      <c r="A43" s="9">
        <f t="shared" si="0"/>
        <v>29</v>
      </c>
      <c r="B43" s="3"/>
      <c r="C43" s="3"/>
      <c r="D43" s="1"/>
      <c r="E43" s="19"/>
      <c r="F43" s="1"/>
      <c r="G43" s="3"/>
      <c r="H43" s="3"/>
      <c r="I43" s="1"/>
      <c r="J43" s="3"/>
      <c r="K43" s="1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</row>
    <row r="44" spans="1:40">
      <c r="A44" s="9">
        <f t="shared" si="0"/>
        <v>30</v>
      </c>
      <c r="B44" s="3"/>
      <c r="C44" s="96" t="s">
        <v>39</v>
      </c>
      <c r="D44" s="1" t="s">
        <v>422</v>
      </c>
      <c r="E44" s="1"/>
      <c r="F44" s="1"/>
      <c r="G44" s="1"/>
      <c r="H44" s="1"/>
      <c r="I44" s="1"/>
      <c r="J44" s="1"/>
      <c r="K44" s="1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</row>
    <row r="45" spans="1:40">
      <c r="A45" s="9">
        <f t="shared" si="0"/>
        <v>31</v>
      </c>
      <c r="B45" s="3"/>
      <c r="C45" s="97" t="s">
        <v>269</v>
      </c>
      <c r="D45" s="1" t="s">
        <v>225</v>
      </c>
      <c r="E45" s="19">
        <f>+'WP6 Rate Base'!G50</f>
        <v>0</v>
      </c>
      <c r="F45" s="1"/>
      <c r="G45" s="1" t="str">
        <f>+G25</f>
        <v>NA</v>
      </c>
      <c r="H45" s="227" t="s">
        <v>290</v>
      </c>
      <c r="I45" s="1"/>
      <c r="J45" s="19">
        <v>0</v>
      </c>
      <c r="K45" s="1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</row>
    <row r="46" spans="1:40">
      <c r="A46" s="9">
        <f t="shared" si="0"/>
        <v>32</v>
      </c>
      <c r="B46" s="3"/>
      <c r="C46" s="97" t="s">
        <v>270</v>
      </c>
      <c r="D46" s="1" t="s">
        <v>227</v>
      </c>
      <c r="E46" s="290">
        <f>+'WP6 Rate Base'!G51</f>
        <v>-122472151.57742646</v>
      </c>
      <c r="F46" s="1"/>
      <c r="G46" s="1" t="s">
        <v>226</v>
      </c>
      <c r="H46" s="224">
        <f>+H42</f>
        <v>0.1646960418818435</v>
      </c>
      <c r="I46" s="1"/>
      <c r="J46" s="19">
        <f>E46*H46</f>
        <v>-20170678.605555315</v>
      </c>
      <c r="K46" s="1"/>
      <c r="L46" s="194" t="s">
        <v>462</v>
      </c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</row>
    <row r="47" spans="1:40">
      <c r="A47" s="9">
        <f t="shared" si="0"/>
        <v>33</v>
      </c>
      <c r="B47" s="3"/>
      <c r="C47" s="97" t="s">
        <v>271</v>
      </c>
      <c r="D47" s="1" t="s">
        <v>228</v>
      </c>
      <c r="E47" s="19">
        <f>+'WP6 Rate Base'!G52</f>
        <v>-18340967.5</v>
      </c>
      <c r="F47" s="1"/>
      <c r="G47" s="1" t="str">
        <f>+G46</f>
        <v>NP</v>
      </c>
      <c r="H47" s="224">
        <f>H42</f>
        <v>0.1646960418818435</v>
      </c>
      <c r="I47" s="1"/>
      <c r="J47" s="19">
        <f>E47*H47</f>
        <v>-3020684.7515335307</v>
      </c>
      <c r="K47" s="1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</row>
    <row r="48" spans="1:40">
      <c r="A48" s="9">
        <f t="shared" si="0"/>
        <v>34</v>
      </c>
      <c r="B48" s="3"/>
      <c r="C48" s="97" t="s">
        <v>273</v>
      </c>
      <c r="D48" s="1" t="s">
        <v>229</v>
      </c>
      <c r="E48" s="19">
        <f>+'WP6 Rate Base'!G53</f>
        <v>29925412</v>
      </c>
      <c r="F48" s="1"/>
      <c r="G48" s="1" t="str">
        <f>+G47</f>
        <v>NP</v>
      </c>
      <c r="H48" s="224">
        <f>+H47</f>
        <v>0.1646960418818435</v>
      </c>
      <c r="I48" s="1"/>
      <c r="J48" s="19">
        <f>E48*H48</f>
        <v>4928596.9080834221</v>
      </c>
      <c r="K48" s="1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</row>
    <row r="49" spans="1:40">
      <c r="A49" s="9">
        <f t="shared" si="0"/>
        <v>35</v>
      </c>
      <c r="B49" s="3"/>
      <c r="C49" s="3" t="s">
        <v>272</v>
      </c>
      <c r="D49" s="3" t="s">
        <v>124</v>
      </c>
      <c r="E49" s="19">
        <f>'WP6 Rate Base'!G54</f>
        <v>0</v>
      </c>
      <c r="F49" s="1"/>
      <c r="G49" s="1" t="str">
        <f>+G48</f>
        <v>NP</v>
      </c>
      <c r="H49" s="224">
        <f>+H47</f>
        <v>0.1646960418818435</v>
      </c>
      <c r="I49" s="1"/>
      <c r="J49" s="47">
        <f>E49*H49</f>
        <v>0</v>
      </c>
      <c r="K49" s="1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</row>
    <row r="50" spans="1:40" ht="15.75" thickBot="1">
      <c r="A50" s="9">
        <f t="shared" si="0"/>
        <v>36</v>
      </c>
      <c r="B50" s="3"/>
      <c r="C50" s="97" t="s">
        <v>292</v>
      </c>
      <c r="D50" s="3" t="s">
        <v>423</v>
      </c>
      <c r="E50" s="291">
        <f>+'WP6 Rate Base'!G55</f>
        <v>-96378494.946761936</v>
      </c>
      <c r="F50" s="1"/>
      <c r="G50" s="1" t="str">
        <f>+G49</f>
        <v>NP</v>
      </c>
      <c r="H50" s="224">
        <f>+H49</f>
        <v>0.1646960418818435</v>
      </c>
      <c r="I50" s="1"/>
      <c r="J50" s="228">
        <f>+H50*E50</f>
        <v>-15873156.640260946</v>
      </c>
      <c r="K50" s="1"/>
      <c r="L50" s="194" t="s">
        <v>462</v>
      </c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</row>
    <row r="51" spans="1:40">
      <c r="A51" s="9">
        <f t="shared" si="0"/>
        <v>37</v>
      </c>
      <c r="B51" s="3"/>
      <c r="C51" s="97" t="s">
        <v>8</v>
      </c>
      <c r="D51" s="1" t="str">
        <f>"(sum lines "&amp;A45&amp;" - "&amp;A50&amp;")"</f>
        <v>(sum lines 31 - 36)</v>
      </c>
      <c r="E51" s="19">
        <f>SUM(E45:E50)</f>
        <v>-207266202.0241884</v>
      </c>
      <c r="F51" s="1"/>
      <c r="G51" s="1"/>
      <c r="H51" s="1"/>
      <c r="I51" s="1"/>
      <c r="J51" s="19">
        <f>SUM(J45:J50)</f>
        <v>-34135923.089266375</v>
      </c>
      <c r="K51" s="1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</row>
    <row r="52" spans="1:40">
      <c r="A52" s="9">
        <f t="shared" si="0"/>
        <v>38</v>
      </c>
      <c r="B52" s="3"/>
      <c r="C52" s="3"/>
      <c r="D52" s="1"/>
      <c r="E52" s="3"/>
      <c r="F52" s="1"/>
      <c r="G52" s="1"/>
      <c r="H52" s="226"/>
      <c r="I52" s="1"/>
      <c r="J52" s="3"/>
      <c r="K52" s="1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</row>
    <row r="53" spans="1:40">
      <c r="A53" s="9">
        <f t="shared" si="0"/>
        <v>39</v>
      </c>
      <c r="B53" s="3"/>
      <c r="C53" s="96" t="s">
        <v>230</v>
      </c>
      <c r="D53" s="1" t="s">
        <v>299</v>
      </c>
      <c r="E53" s="1">
        <f>+'WP6 Rate Base'!G58</f>
        <v>0</v>
      </c>
      <c r="F53" s="1"/>
      <c r="G53" s="1" t="s">
        <v>387</v>
      </c>
      <c r="H53" s="224">
        <v>0</v>
      </c>
      <c r="I53" s="1"/>
      <c r="J53" s="1">
        <f>+H53*E53</f>
        <v>0</v>
      </c>
      <c r="K53" s="1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</row>
    <row r="54" spans="1:40">
      <c r="A54" s="9">
        <f t="shared" si="0"/>
        <v>40</v>
      </c>
      <c r="B54" s="3"/>
      <c r="C54" s="97"/>
      <c r="D54" s="1"/>
      <c r="E54" s="1"/>
      <c r="F54" s="1"/>
      <c r="G54" s="1"/>
      <c r="H54" s="1"/>
      <c r="I54" s="1"/>
      <c r="J54" s="1"/>
      <c r="K54" s="1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</row>
    <row r="55" spans="1:40">
      <c r="A55" s="9">
        <f t="shared" si="0"/>
        <v>41</v>
      </c>
      <c r="B55" s="3"/>
      <c r="C55" s="97" t="s">
        <v>298</v>
      </c>
      <c r="D55" s="1" t="s">
        <v>194</v>
      </c>
      <c r="E55" s="1"/>
      <c r="F55" s="1"/>
      <c r="G55" s="1"/>
      <c r="H55" s="1"/>
      <c r="I55" s="1"/>
      <c r="J55" s="1"/>
      <c r="K55" s="1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8"/>
    </row>
    <row r="56" spans="1:40">
      <c r="A56" s="9">
        <f t="shared" si="0"/>
        <v>42</v>
      </c>
      <c r="B56" s="3"/>
      <c r="C56" s="97" t="s">
        <v>289</v>
      </c>
      <c r="D56" s="3" t="str">
        <f>"(1/8 * line "&amp;A85&amp;")"</f>
        <v>(1/8 * line 58)</v>
      </c>
      <c r="E56" s="1">
        <f>+E85/8</f>
        <v>4224455.6150000002</v>
      </c>
      <c r="F56" s="1"/>
      <c r="G56" s="1" t="s">
        <v>91</v>
      </c>
      <c r="H56" s="226"/>
      <c r="I56" s="1"/>
      <c r="J56" s="1">
        <f>+J85/8</f>
        <v>807896.51896265917</v>
      </c>
      <c r="K56" s="75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N56" s="218"/>
    </row>
    <row r="57" spans="1:40">
      <c r="A57" s="9">
        <f t="shared" si="0"/>
        <v>43</v>
      </c>
      <c r="B57" s="3"/>
      <c r="C57" s="97" t="s">
        <v>358</v>
      </c>
      <c r="D57" s="1" t="s">
        <v>134</v>
      </c>
      <c r="E57" s="1">
        <f>+'WP6 Rate Base'!G62</f>
        <v>4318183.5</v>
      </c>
      <c r="F57" s="1"/>
      <c r="G57" s="1" t="s">
        <v>131</v>
      </c>
      <c r="H57" s="224">
        <f>+J181</f>
        <v>0.3254976934954843</v>
      </c>
      <c r="I57" s="1"/>
      <c r="J57" s="1">
        <f>+H57*E57</f>
        <v>1405558.7693402576</v>
      </c>
      <c r="K57" s="1" t="s">
        <v>194</v>
      </c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</row>
    <row r="58" spans="1:40">
      <c r="A58" s="9">
        <f t="shared" si="0"/>
        <v>44</v>
      </c>
      <c r="B58" s="3"/>
      <c r="C58" s="97" t="s">
        <v>358</v>
      </c>
      <c r="D58" s="1" t="s">
        <v>133</v>
      </c>
      <c r="E58" s="1">
        <f>+'WP6 Rate Base'!G63</f>
        <v>15377.5</v>
      </c>
      <c r="F58" s="1"/>
      <c r="G58" s="1" t="s">
        <v>200</v>
      </c>
      <c r="H58" s="224">
        <f>+J143</f>
        <v>0.87458400000000003</v>
      </c>
      <c r="I58" s="1"/>
      <c r="J58" s="1">
        <f>+H58*E58</f>
        <v>13448.91546</v>
      </c>
      <c r="K58" s="1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</row>
    <row r="59" spans="1:40" ht="15.75" thickBot="1">
      <c r="A59" s="9">
        <f t="shared" si="0"/>
        <v>45</v>
      </c>
      <c r="B59" s="3"/>
      <c r="C59" s="97" t="s">
        <v>274</v>
      </c>
      <c r="D59" s="1" t="s">
        <v>424</v>
      </c>
      <c r="E59" s="229">
        <f>+'WP6 Rate Base'!G64</f>
        <v>3322941.2949999999</v>
      </c>
      <c r="F59" s="1"/>
      <c r="G59" s="1" t="s">
        <v>231</v>
      </c>
      <c r="H59" s="224">
        <f>+H22</f>
        <v>0.14483537247125666</v>
      </c>
      <c r="I59" s="1"/>
      <c r="J59" s="4">
        <f>+H59*E59</f>
        <v>481279.44016144495</v>
      </c>
      <c r="K59" s="1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</row>
    <row r="60" spans="1:40">
      <c r="A60" s="9">
        <f t="shared" si="0"/>
        <v>46</v>
      </c>
      <c r="B60" s="3"/>
      <c r="C60" s="97" t="s">
        <v>9</v>
      </c>
      <c r="D60" s="1" t="str">
        <f>"(sum lines "&amp;A56&amp;" - "&amp;A59&amp;")"</f>
        <v>(sum lines 42 - 45)</v>
      </c>
      <c r="E60" s="1">
        <f>SUM(E56:E59)</f>
        <v>11880957.91</v>
      </c>
      <c r="F60" s="75"/>
      <c r="G60" s="75"/>
      <c r="H60" s="75"/>
      <c r="I60" s="75"/>
      <c r="J60" s="1">
        <f>SUM(J56:J59)</f>
        <v>2708183.643924362</v>
      </c>
      <c r="K60" s="75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</row>
    <row r="61" spans="1:40" ht="15.75" thickBot="1">
      <c r="A61" s="9">
        <f t="shared" si="0"/>
        <v>47</v>
      </c>
      <c r="B61" s="3"/>
      <c r="C61" s="3"/>
      <c r="D61" s="1"/>
      <c r="E61" s="230"/>
      <c r="F61" s="1"/>
      <c r="G61" s="1"/>
      <c r="H61" s="1"/>
      <c r="I61" s="1"/>
      <c r="J61" s="231"/>
      <c r="K61" s="1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</row>
    <row r="62" spans="1:40" ht="15.75" thickBot="1">
      <c r="A62" s="9">
        <f t="shared" si="0"/>
        <v>48</v>
      </c>
      <c r="B62" s="3"/>
      <c r="C62" s="97" t="s">
        <v>10</v>
      </c>
      <c r="D62" s="1" t="str">
        <f>"(sum lines "&amp;A42&amp;", "&amp;A51&amp;", "&amp;A53&amp;", &amp; "&amp;A60&amp;")"</f>
        <v>(sum lines 28, 37, 39, &amp; 46)</v>
      </c>
      <c r="E62" s="232"/>
      <c r="F62" s="1"/>
      <c r="G62" s="1"/>
      <c r="H62" s="226"/>
      <c r="I62" s="1"/>
      <c r="J62" s="233">
        <f>+J60+J53+J51+J42</f>
        <v>103519174.86615589</v>
      </c>
      <c r="K62" s="1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</row>
    <row r="63" spans="1:40" ht="15.75" thickTop="1">
      <c r="A63" s="9"/>
      <c r="B63" s="3"/>
      <c r="C63" s="97"/>
      <c r="D63" s="1"/>
      <c r="E63" s="232"/>
      <c r="F63" s="1"/>
      <c r="G63" s="1"/>
      <c r="H63" s="226"/>
      <c r="I63" s="182" t="s">
        <v>418</v>
      </c>
      <c r="J63" s="234">
        <f>J1</f>
        <v>43616</v>
      </c>
      <c r="K63" s="1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</row>
    <row r="64" spans="1:40">
      <c r="A64" s="9"/>
      <c r="B64" s="3"/>
      <c r="C64" s="97"/>
      <c r="D64" s="1"/>
      <c r="E64" s="1"/>
      <c r="F64" s="1"/>
      <c r="G64" s="1"/>
      <c r="I64" s="182" t="str">
        <f>$I$2</f>
        <v>Service Year</v>
      </c>
      <c r="J64" s="75">
        <f>$J$2</f>
        <v>2018</v>
      </c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</row>
    <row r="65" spans="1:40">
      <c r="A65" s="9"/>
      <c r="B65" s="3"/>
      <c r="C65" s="97"/>
      <c r="D65" s="1"/>
      <c r="E65" s="1"/>
      <c r="F65" s="1"/>
      <c r="G65" s="1"/>
      <c r="H65" s="1"/>
      <c r="I65" s="1"/>
      <c r="J65" s="1"/>
      <c r="K65" s="1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</row>
    <row r="66" spans="1:40" ht="15.75">
      <c r="A66" s="305" t="s">
        <v>321</v>
      </c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18"/>
      <c r="AN66" s="218"/>
    </row>
    <row r="67" spans="1:40" ht="15.75">
      <c r="A67" s="306" t="s">
        <v>195</v>
      </c>
      <c r="B67" s="306"/>
      <c r="C67" s="306"/>
      <c r="D67" s="306"/>
      <c r="E67" s="306"/>
      <c r="F67" s="306"/>
      <c r="G67" s="306"/>
      <c r="H67" s="306"/>
      <c r="I67" s="306"/>
      <c r="J67" s="306"/>
      <c r="K67" s="306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8"/>
    </row>
    <row r="68" spans="1:40">
      <c r="A68" s="3"/>
      <c r="B68" s="3"/>
      <c r="C68" s="75"/>
      <c r="D68" s="75"/>
      <c r="F68" s="75"/>
      <c r="G68" s="75"/>
      <c r="H68" s="75"/>
      <c r="I68" s="75"/>
      <c r="J68" s="75"/>
      <c r="K68" s="75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18"/>
      <c r="AK68" s="218"/>
      <c r="AL68" s="218"/>
      <c r="AM68" s="218"/>
      <c r="AN68" s="218"/>
    </row>
    <row r="69" spans="1:40" ht="15.75">
      <c r="A69" s="307" t="s">
        <v>320</v>
      </c>
      <c r="B69" s="307"/>
      <c r="C69" s="307"/>
      <c r="D69" s="307"/>
      <c r="E69" s="307"/>
      <c r="F69" s="307"/>
      <c r="G69" s="307"/>
      <c r="H69" s="307"/>
      <c r="I69" s="307"/>
      <c r="J69" s="307"/>
      <c r="K69" s="307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  <c r="AK69" s="218"/>
      <c r="AL69" s="218"/>
      <c r="AM69" s="218"/>
      <c r="AN69" s="218"/>
    </row>
    <row r="70" spans="1:40">
      <c r="A70" s="9"/>
      <c r="B70" s="3"/>
      <c r="C70" s="187" t="s">
        <v>201</v>
      </c>
      <c r="D70" s="187" t="s">
        <v>202</v>
      </c>
      <c r="E70" s="187" t="s">
        <v>203</v>
      </c>
      <c r="F70" s="1" t="s">
        <v>194</v>
      </c>
      <c r="G70" s="1"/>
      <c r="H70" s="219" t="s">
        <v>204</v>
      </c>
      <c r="I70" s="1"/>
      <c r="J70" s="220" t="s">
        <v>205</v>
      </c>
      <c r="K70" s="1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  <c r="AM70" s="218"/>
      <c r="AN70" s="218"/>
    </row>
    <row r="71" spans="1:40">
      <c r="A71" s="9"/>
      <c r="B71" s="3"/>
      <c r="C71" s="187"/>
      <c r="D71" s="2"/>
      <c r="E71" s="2"/>
      <c r="F71" s="2"/>
      <c r="G71" s="2"/>
      <c r="H71" s="2"/>
      <c r="I71" s="2"/>
      <c r="J71" s="2"/>
      <c r="K71" s="2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  <c r="AK71" s="218"/>
      <c r="AL71" s="218"/>
      <c r="AM71" s="218"/>
      <c r="AN71" s="218"/>
    </row>
    <row r="72" spans="1:40" ht="15.75">
      <c r="A72" s="9" t="s">
        <v>196</v>
      </c>
      <c r="B72" s="3"/>
      <c r="C72" s="97"/>
      <c r="D72" s="185" t="s">
        <v>206</v>
      </c>
      <c r="E72" s="1"/>
      <c r="F72" s="1"/>
      <c r="G72" s="189" t="str">
        <f>+G10</f>
        <v xml:space="preserve">      Allocator</v>
      </c>
      <c r="H72" s="9"/>
      <c r="I72" s="1"/>
      <c r="J72" s="184" t="s">
        <v>207</v>
      </c>
      <c r="K72" s="1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8"/>
      <c r="AK72" s="218"/>
      <c r="AL72" s="218"/>
      <c r="AM72" s="218"/>
      <c r="AN72" s="218"/>
    </row>
    <row r="73" spans="1:40" ht="16.5" thickBot="1">
      <c r="A73" s="191" t="s">
        <v>197</v>
      </c>
      <c r="B73" s="3"/>
      <c r="C73" s="97"/>
      <c r="D73" s="188" t="s">
        <v>208</v>
      </c>
      <c r="E73" s="184" t="s">
        <v>209</v>
      </c>
      <c r="F73" s="189"/>
      <c r="G73" s="222" t="str">
        <f>+G11</f>
        <v xml:space="preserve">        (page 4)</v>
      </c>
      <c r="H73" s="3"/>
      <c r="I73" s="189"/>
      <c r="J73" s="9" t="s">
        <v>210</v>
      </c>
      <c r="K73" s="1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8"/>
      <c r="AK73" s="218"/>
      <c r="AL73" s="218"/>
      <c r="AM73" s="218"/>
      <c r="AN73" s="218"/>
    </row>
    <row r="74" spans="1:40" ht="15.75">
      <c r="A74" s="3"/>
      <c r="B74" s="3"/>
      <c r="C74" s="97"/>
      <c r="D74" s="1"/>
      <c r="E74" s="235"/>
      <c r="F74" s="236"/>
      <c r="G74" s="237"/>
      <c r="H74" s="3"/>
      <c r="I74" s="236"/>
      <c r="J74" s="235"/>
      <c r="K74" s="1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  <c r="AK74" s="218"/>
      <c r="AL74" s="218"/>
      <c r="AM74" s="218"/>
      <c r="AN74" s="218"/>
    </row>
    <row r="75" spans="1:40">
      <c r="A75" s="9"/>
      <c r="B75" s="3"/>
      <c r="C75" s="97" t="s">
        <v>232</v>
      </c>
      <c r="D75" s="1"/>
      <c r="E75" s="1"/>
      <c r="F75" s="1"/>
      <c r="G75" s="1"/>
      <c r="H75" s="1"/>
      <c r="I75" s="1"/>
      <c r="J75" s="1"/>
      <c r="K75" s="1"/>
      <c r="L75" s="218"/>
      <c r="M75" s="218"/>
      <c r="N75" s="218"/>
      <c r="O75" s="194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8"/>
      <c r="AL75" s="218"/>
      <c r="AM75" s="218"/>
      <c r="AN75" s="218"/>
    </row>
    <row r="76" spans="1:40">
      <c r="A76" s="9">
        <f>+A62+1</f>
        <v>49</v>
      </c>
      <c r="B76" s="3"/>
      <c r="C76" s="97" t="s">
        <v>233</v>
      </c>
      <c r="D76" s="1" t="s">
        <v>138</v>
      </c>
      <c r="E76" s="303">
        <v>28235767</v>
      </c>
      <c r="F76" s="1"/>
      <c r="G76" s="1" t="s">
        <v>200</v>
      </c>
      <c r="H76" s="224">
        <f>+J143</f>
        <v>0.87458400000000003</v>
      </c>
      <c r="I76" s="1"/>
      <c r="J76" s="1">
        <f>+H76*E76</f>
        <v>24694550.045928001</v>
      </c>
      <c r="K76" s="75"/>
      <c r="L76" s="194" t="s">
        <v>477</v>
      </c>
      <c r="M76" s="218"/>
      <c r="N76" s="218"/>
      <c r="O76" s="194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8"/>
      <c r="AL76" s="218"/>
      <c r="AM76" s="218"/>
      <c r="AN76" s="218"/>
    </row>
    <row r="77" spans="1:40">
      <c r="A77" s="9">
        <f>+A76+1</f>
        <v>50</v>
      </c>
      <c r="B77" s="3"/>
      <c r="C77" s="97" t="s">
        <v>49</v>
      </c>
      <c r="D77" s="1" t="s">
        <v>435</v>
      </c>
      <c r="E77" s="303">
        <f>785+765014+214989+308557+790384+173-774+266831+22605598</f>
        <v>24951557</v>
      </c>
      <c r="F77" s="1"/>
      <c r="G77" s="1" t="str">
        <f>+G76</f>
        <v>TP</v>
      </c>
      <c r="H77" s="224">
        <f>+H76</f>
        <v>0.87458400000000003</v>
      </c>
      <c r="I77" s="1"/>
      <c r="J77" s="1">
        <f t="shared" ref="J77:J84" si="3">+H77*E77</f>
        <v>21822232.527288001</v>
      </c>
      <c r="K77" s="75"/>
      <c r="L77" s="194" t="s">
        <v>477</v>
      </c>
      <c r="M77" s="218"/>
      <c r="N77" s="218"/>
      <c r="O77" s="194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  <c r="AK77" s="218"/>
      <c r="AL77" s="218"/>
      <c r="AM77" s="218"/>
      <c r="AN77" s="218"/>
    </row>
    <row r="78" spans="1:40">
      <c r="A78" s="9">
        <f t="shared" ref="A78:A119" si="4">+A77+1</f>
        <v>51</v>
      </c>
      <c r="B78" s="3"/>
      <c r="C78" s="97" t="s">
        <v>234</v>
      </c>
      <c r="D78" s="1" t="s">
        <v>125</v>
      </c>
      <c r="E78" s="303">
        <v>31692628</v>
      </c>
      <c r="F78" s="1"/>
      <c r="G78" s="1" t="s">
        <v>218</v>
      </c>
      <c r="H78" s="224">
        <f>+H28</f>
        <v>0.12907930019431649</v>
      </c>
      <c r="I78" s="1"/>
      <c r="J78" s="1">
        <f t="shared" si="3"/>
        <v>4090862.2435588003</v>
      </c>
      <c r="K78" s="1"/>
      <c r="L78" s="194" t="s">
        <v>477</v>
      </c>
      <c r="M78" s="218"/>
      <c r="N78" s="218"/>
      <c r="O78" s="194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18"/>
      <c r="AN78" s="218"/>
    </row>
    <row r="79" spans="1:40">
      <c r="A79" s="9">
        <f t="shared" si="4"/>
        <v>52</v>
      </c>
      <c r="B79" s="3"/>
      <c r="C79" s="97" t="s">
        <v>46</v>
      </c>
      <c r="D79" s="1" t="s">
        <v>135</v>
      </c>
      <c r="E79" s="1">
        <v>399049</v>
      </c>
      <c r="F79" s="1"/>
      <c r="G79" s="1" t="s">
        <v>218</v>
      </c>
      <c r="H79" s="224">
        <v>1</v>
      </c>
      <c r="I79" s="1"/>
      <c r="J79" s="1">
        <f t="shared" si="3"/>
        <v>399049</v>
      </c>
      <c r="K79" s="1"/>
      <c r="L79" s="218"/>
      <c r="M79" s="218"/>
      <c r="N79" s="218"/>
      <c r="O79" s="194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8"/>
      <c r="AK79" s="218"/>
      <c r="AL79" s="218"/>
      <c r="AM79" s="218"/>
      <c r="AN79" s="218"/>
    </row>
    <row r="80" spans="1:40">
      <c r="A80" s="9">
        <f t="shared" si="4"/>
        <v>53</v>
      </c>
      <c r="B80" s="3"/>
      <c r="C80" s="97" t="s">
        <v>293</v>
      </c>
      <c r="D80" s="1" t="s">
        <v>168</v>
      </c>
      <c r="E80" s="1">
        <v>227200</v>
      </c>
      <c r="F80" s="1"/>
      <c r="G80" s="1" t="str">
        <f>G78</f>
        <v>W/S</v>
      </c>
      <c r="H80" s="224">
        <f>H78</f>
        <v>0.12907930019431649</v>
      </c>
      <c r="I80" s="1"/>
      <c r="J80" s="1">
        <f t="shared" si="3"/>
        <v>29326.817004148706</v>
      </c>
      <c r="K80" s="1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8"/>
      <c r="AK80" s="218"/>
      <c r="AL80" s="218"/>
      <c r="AM80" s="218"/>
      <c r="AN80" s="218"/>
    </row>
    <row r="81" spans="1:40">
      <c r="A81" s="9">
        <f t="shared" si="4"/>
        <v>54</v>
      </c>
      <c r="B81" s="3"/>
      <c r="C81" s="97" t="s">
        <v>294</v>
      </c>
      <c r="D81" s="1" t="s">
        <v>169</v>
      </c>
      <c r="E81" s="1">
        <v>211473</v>
      </c>
      <c r="F81" s="1"/>
      <c r="G81" s="1" t="str">
        <f>+G80</f>
        <v>W/S</v>
      </c>
      <c r="H81" s="224">
        <f>+H80</f>
        <v>0.12907930019431649</v>
      </c>
      <c r="I81" s="1"/>
      <c r="J81" s="1">
        <f t="shared" si="3"/>
        <v>27296.786849992692</v>
      </c>
      <c r="K81" s="1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8"/>
      <c r="AK81" s="218"/>
      <c r="AL81" s="218"/>
      <c r="AM81" s="218"/>
      <c r="AN81" s="218"/>
    </row>
    <row r="82" spans="1:40">
      <c r="A82" s="9">
        <f t="shared" si="4"/>
        <v>55</v>
      </c>
      <c r="B82" s="3"/>
      <c r="C82" s="97" t="s">
        <v>48</v>
      </c>
      <c r="D82" s="1"/>
      <c r="E82" s="1">
        <v>797871.08000000007</v>
      </c>
      <c r="F82" s="1"/>
      <c r="G82" s="1" t="str">
        <f>G78</f>
        <v>W/S</v>
      </c>
      <c r="H82" s="224">
        <f>H78</f>
        <v>0.12907930019431649</v>
      </c>
      <c r="I82" s="1"/>
      <c r="J82" s="1">
        <f t="shared" si="3"/>
        <v>102988.64065168351</v>
      </c>
      <c r="K82" s="1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8"/>
      <c r="AI82" s="218"/>
      <c r="AJ82" s="218"/>
      <c r="AK82" s="218"/>
      <c r="AL82" s="218"/>
      <c r="AM82" s="218"/>
      <c r="AN82" s="218"/>
    </row>
    <row r="83" spans="1:40">
      <c r="A83" s="9">
        <f t="shared" si="4"/>
        <v>56</v>
      </c>
      <c r="B83" s="3"/>
      <c r="C83" s="97" t="s">
        <v>47</v>
      </c>
      <c r="D83" s="1"/>
      <c r="E83" s="1"/>
      <c r="F83" s="1"/>
      <c r="G83" s="238" t="str">
        <f>+G76</f>
        <v>TP</v>
      </c>
      <c r="H83" s="224">
        <f>+H76</f>
        <v>0.87458400000000003</v>
      </c>
      <c r="I83" s="1"/>
      <c r="J83" s="1">
        <f>+H83*E83</f>
        <v>0</v>
      </c>
      <c r="K83" s="1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8"/>
      <c r="AI83" s="218"/>
      <c r="AJ83" s="218"/>
      <c r="AK83" s="218"/>
      <c r="AL83" s="218"/>
      <c r="AM83" s="218"/>
      <c r="AN83" s="218"/>
    </row>
    <row r="84" spans="1:40" ht="15.75" thickBot="1">
      <c r="A84" s="9">
        <f t="shared" si="4"/>
        <v>57</v>
      </c>
      <c r="B84" s="3"/>
      <c r="C84" s="97" t="s">
        <v>219</v>
      </c>
      <c r="D84" s="1" t="str">
        <f>+D31</f>
        <v>356.1</v>
      </c>
      <c r="E84" s="4">
        <v>0</v>
      </c>
      <c r="F84" s="1"/>
      <c r="G84" s="1" t="s">
        <v>251</v>
      </c>
      <c r="H84" s="224">
        <f>+H31</f>
        <v>0</v>
      </c>
      <c r="I84" s="1"/>
      <c r="J84" s="4">
        <f t="shared" si="3"/>
        <v>0</v>
      </c>
      <c r="K84" s="1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8"/>
      <c r="AI84" s="218"/>
      <c r="AJ84" s="218"/>
      <c r="AK84" s="218"/>
      <c r="AL84" s="218"/>
      <c r="AM84" s="218"/>
      <c r="AN84" s="218"/>
    </row>
    <row r="85" spans="1:40">
      <c r="A85" s="9">
        <f t="shared" si="4"/>
        <v>58</v>
      </c>
      <c r="B85" s="3"/>
      <c r="C85" s="97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"/>
      <c r="E85" s="1">
        <f>+E76-E77+E78-E79-E82+E84+E83+E80-E81</f>
        <v>33795644.920000002</v>
      </c>
      <c r="F85" s="1"/>
      <c r="G85" s="1"/>
      <c r="H85" s="1"/>
      <c r="I85" s="1"/>
      <c r="J85" s="1">
        <f>+J76-J77+J78-J79-J82+J84+J83+J80-J81</f>
        <v>6463172.1517012734</v>
      </c>
      <c r="K85" s="1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</row>
    <row r="86" spans="1:40">
      <c r="A86" s="9">
        <f t="shared" si="4"/>
        <v>59</v>
      </c>
      <c r="B86" s="3"/>
      <c r="C86" s="3"/>
      <c r="D86" s="1"/>
      <c r="E86" s="3"/>
      <c r="F86" s="1"/>
      <c r="G86" s="1"/>
      <c r="H86" s="1"/>
      <c r="I86" s="1"/>
      <c r="J86" s="3"/>
      <c r="K86" s="1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8"/>
      <c r="AI86" s="218"/>
      <c r="AJ86" s="218"/>
      <c r="AK86" s="218"/>
      <c r="AL86" s="218"/>
      <c r="AM86" s="218"/>
      <c r="AN86" s="218"/>
    </row>
    <row r="87" spans="1:40">
      <c r="A87" s="9">
        <f t="shared" si="4"/>
        <v>60</v>
      </c>
      <c r="B87" s="3"/>
      <c r="C87" s="97" t="s">
        <v>173</v>
      </c>
      <c r="D87" s="1"/>
      <c r="E87" s="1"/>
      <c r="F87" s="1"/>
      <c r="G87" s="1"/>
      <c r="H87" s="1"/>
      <c r="I87" s="1"/>
      <c r="J87" s="1"/>
      <c r="K87" s="1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18"/>
      <c r="AD87" s="218"/>
      <c r="AE87" s="218"/>
      <c r="AF87" s="218"/>
      <c r="AG87" s="218"/>
      <c r="AH87" s="218"/>
      <c r="AI87" s="218"/>
      <c r="AJ87" s="218"/>
      <c r="AK87" s="218"/>
      <c r="AL87" s="218"/>
      <c r="AM87" s="218"/>
      <c r="AN87" s="218"/>
    </row>
    <row r="88" spans="1:40">
      <c r="A88" s="9">
        <f t="shared" si="4"/>
        <v>61</v>
      </c>
      <c r="B88" s="3"/>
      <c r="C88" s="97" t="str">
        <f>+C16</f>
        <v xml:space="preserve">  Transmission</v>
      </c>
      <c r="D88" s="1" t="s">
        <v>436</v>
      </c>
      <c r="E88" s="1">
        <f>E16*'BHP WP5 Depreciation Rates'!H17</f>
        <v>4472341.5285107689</v>
      </c>
      <c r="F88" s="1"/>
      <c r="G88" s="1" t="s">
        <v>200</v>
      </c>
      <c r="H88" s="224">
        <f>+J143</f>
        <v>0.87458400000000003</v>
      </c>
      <c r="I88" s="1"/>
      <c r="J88" s="1">
        <f>+H88*E88</f>
        <v>3911438.3433710625</v>
      </c>
      <c r="K88" s="1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  <c r="AB88" s="218"/>
      <c r="AC88" s="218"/>
      <c r="AD88" s="218"/>
      <c r="AE88" s="218"/>
      <c r="AF88" s="218"/>
      <c r="AG88" s="218"/>
      <c r="AH88" s="218"/>
      <c r="AI88" s="218"/>
      <c r="AJ88" s="218"/>
      <c r="AK88" s="218"/>
      <c r="AL88" s="218"/>
      <c r="AM88" s="218"/>
      <c r="AN88" s="218"/>
    </row>
    <row r="89" spans="1:40">
      <c r="A89" s="9">
        <f t="shared" si="4"/>
        <v>62</v>
      </c>
      <c r="B89" s="3"/>
      <c r="C89" s="97" t="s">
        <v>295</v>
      </c>
      <c r="D89" s="1" t="s">
        <v>437</v>
      </c>
      <c r="E89" s="1">
        <f>(E18+E20)*'BHP WP5 Depreciation Rates'!H31</f>
        <v>3077169.2522530006</v>
      </c>
      <c r="F89" s="1"/>
      <c r="G89" s="1" t="s">
        <v>218</v>
      </c>
      <c r="H89" s="224">
        <f>H78</f>
        <v>0.12907930019431649</v>
      </c>
      <c r="I89" s="1"/>
      <c r="J89" s="1">
        <f>+H89*E89</f>
        <v>397198.85366028547</v>
      </c>
      <c r="K89" s="1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18"/>
      <c r="AK89" s="218"/>
      <c r="AL89" s="218"/>
      <c r="AM89" s="218"/>
      <c r="AN89" s="218"/>
    </row>
    <row r="90" spans="1:40" ht="15.75" thickBot="1">
      <c r="A90" s="9">
        <f t="shared" si="4"/>
        <v>63</v>
      </c>
      <c r="B90" s="3"/>
      <c r="C90" s="97" t="str">
        <f>+C84</f>
        <v xml:space="preserve">  Common</v>
      </c>
      <c r="D90" s="1" t="s">
        <v>126</v>
      </c>
      <c r="E90" s="4">
        <v>0</v>
      </c>
      <c r="F90" s="1"/>
      <c r="G90" s="1" t="s">
        <v>251</v>
      </c>
      <c r="H90" s="224">
        <f>+H84</f>
        <v>0</v>
      </c>
      <c r="I90" s="1"/>
      <c r="J90" s="4">
        <f>+H90*E90</f>
        <v>0</v>
      </c>
      <c r="K90" s="1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8"/>
      <c r="AI90" s="218"/>
      <c r="AJ90" s="218"/>
      <c r="AK90" s="218"/>
      <c r="AL90" s="218"/>
      <c r="AM90" s="218"/>
      <c r="AN90" s="218"/>
    </row>
    <row r="91" spans="1:40">
      <c r="A91" s="9">
        <f t="shared" si="4"/>
        <v>64</v>
      </c>
      <c r="B91" s="3"/>
      <c r="C91" s="97" t="str">
        <f>"TOTAL DEPRECIATION (Sum lines "&amp;A88&amp;" - "&amp;A90&amp;")"</f>
        <v>TOTAL DEPRECIATION (Sum lines 61 - 63)</v>
      </c>
      <c r="D91" s="1"/>
      <c r="E91" s="1">
        <f>SUM(E88:E90)</f>
        <v>7549510.7807637695</v>
      </c>
      <c r="F91" s="1"/>
      <c r="G91" s="1"/>
      <c r="H91" s="1"/>
      <c r="I91" s="1"/>
      <c r="J91" s="1">
        <f>SUM(J88:J90)</f>
        <v>4308637.197031348</v>
      </c>
      <c r="K91" s="1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  <c r="AK91" s="218"/>
      <c r="AL91" s="218"/>
      <c r="AM91" s="218"/>
      <c r="AN91" s="218"/>
    </row>
    <row r="92" spans="1:40">
      <c r="A92" s="9">
        <f t="shared" si="4"/>
        <v>65</v>
      </c>
      <c r="B92" s="3"/>
      <c r="C92" s="97"/>
      <c r="D92" s="1"/>
      <c r="E92" s="1"/>
      <c r="F92" s="1"/>
      <c r="G92" s="1"/>
      <c r="H92" s="1"/>
      <c r="I92" s="1"/>
      <c r="J92" s="1"/>
      <c r="K92" s="1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8"/>
      <c r="AH92" s="218"/>
      <c r="AI92" s="218"/>
      <c r="AJ92" s="218"/>
      <c r="AK92" s="218"/>
      <c r="AL92" s="218"/>
      <c r="AM92" s="218"/>
      <c r="AN92" s="218"/>
    </row>
    <row r="93" spans="1:40">
      <c r="A93" s="9">
        <f t="shared" si="4"/>
        <v>66</v>
      </c>
      <c r="B93" s="3"/>
      <c r="C93" s="97" t="s">
        <v>89</v>
      </c>
      <c r="D93" s="3"/>
      <c r="E93" s="1"/>
      <c r="F93" s="1"/>
      <c r="G93" s="1"/>
      <c r="H93" s="1"/>
      <c r="I93" s="1"/>
      <c r="J93" s="1"/>
      <c r="K93" s="1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8"/>
      <c r="AK93" s="218"/>
      <c r="AL93" s="218"/>
      <c r="AM93" s="218"/>
      <c r="AN93" s="218"/>
    </row>
    <row r="94" spans="1:40">
      <c r="A94" s="9">
        <f t="shared" si="4"/>
        <v>67</v>
      </c>
      <c r="B94" s="3"/>
      <c r="C94" s="97" t="s">
        <v>235</v>
      </c>
      <c r="D94" s="3"/>
      <c r="E94" s="94"/>
      <c r="F94" s="1"/>
      <c r="G94" s="1"/>
      <c r="H94" s="3"/>
      <c r="I94" s="1"/>
      <c r="J94" s="3"/>
      <c r="K94" s="1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18"/>
      <c r="AI94" s="218"/>
      <c r="AJ94" s="218"/>
      <c r="AK94" s="218"/>
      <c r="AL94" s="218"/>
      <c r="AM94" s="218"/>
      <c r="AN94" s="218"/>
    </row>
    <row r="95" spans="1:40">
      <c r="A95" s="9">
        <f t="shared" si="4"/>
        <v>68</v>
      </c>
      <c r="B95" s="3"/>
      <c r="C95" s="97" t="s">
        <v>236</v>
      </c>
      <c r="D95" s="1" t="s">
        <v>438</v>
      </c>
      <c r="E95" s="1">
        <f>23512-50247+28647</f>
        <v>1912</v>
      </c>
      <c r="F95" s="1"/>
      <c r="G95" s="1" t="s">
        <v>218</v>
      </c>
      <c r="H95" s="239">
        <f>+J175</f>
        <v>0.12907930019431649</v>
      </c>
      <c r="I95" s="1"/>
      <c r="J95" s="1">
        <f>+H95*E95</f>
        <v>246.79962197153313</v>
      </c>
      <c r="K95" s="1"/>
      <c r="L95" s="194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8"/>
      <c r="AH95" s="218"/>
      <c r="AI95" s="218"/>
      <c r="AJ95" s="218"/>
      <c r="AK95" s="218"/>
      <c r="AL95" s="218"/>
      <c r="AM95" s="218"/>
      <c r="AN95" s="218"/>
    </row>
    <row r="96" spans="1:40">
      <c r="A96" s="9">
        <f t="shared" si="4"/>
        <v>69</v>
      </c>
      <c r="B96" s="3"/>
      <c r="C96" s="97" t="s">
        <v>237</v>
      </c>
      <c r="D96" s="1" t="s">
        <v>75</v>
      </c>
      <c r="E96" s="1">
        <v>0</v>
      </c>
      <c r="F96" s="1"/>
      <c r="G96" s="1" t="str">
        <f>+G95</f>
        <v>W/S</v>
      </c>
      <c r="H96" s="239">
        <f>+H95</f>
        <v>0.12907930019431649</v>
      </c>
      <c r="I96" s="1"/>
      <c r="J96" s="1">
        <f>+H96*E96</f>
        <v>0</v>
      </c>
      <c r="K96" s="1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218"/>
      <c r="AL96" s="218"/>
      <c r="AM96" s="218"/>
      <c r="AN96" s="218"/>
    </row>
    <row r="97" spans="1:40">
      <c r="A97" s="9">
        <f t="shared" si="4"/>
        <v>70</v>
      </c>
      <c r="B97" s="3"/>
      <c r="C97" s="97" t="s">
        <v>238</v>
      </c>
      <c r="D97" s="1" t="s">
        <v>194</v>
      </c>
      <c r="E97" s="1"/>
      <c r="F97" s="1"/>
      <c r="G97" s="1"/>
      <c r="H97" s="3"/>
      <c r="I97" s="1"/>
      <c r="J97" s="3"/>
      <c r="K97" s="1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  <c r="AK97" s="218"/>
      <c r="AL97" s="218"/>
      <c r="AM97" s="218"/>
      <c r="AN97" s="218"/>
    </row>
    <row r="98" spans="1:40">
      <c r="A98" s="9">
        <f t="shared" si="4"/>
        <v>71</v>
      </c>
      <c r="B98" s="3"/>
      <c r="C98" s="97" t="s">
        <v>239</v>
      </c>
      <c r="D98" s="1" t="s">
        <v>439</v>
      </c>
      <c r="E98" s="1">
        <v>7077717</v>
      </c>
      <c r="F98" s="1"/>
      <c r="G98" s="1" t="s">
        <v>231</v>
      </c>
      <c r="H98" s="239">
        <f>+H22</f>
        <v>0.14483537247125666</v>
      </c>
      <c r="I98" s="1"/>
      <c r="J98" s="1">
        <f>+H98*E98</f>
        <v>1025103.7779411452</v>
      </c>
      <c r="K98" s="1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18"/>
      <c r="AH98" s="218"/>
      <c r="AI98" s="218"/>
      <c r="AJ98" s="218"/>
      <c r="AK98" s="218"/>
      <c r="AL98" s="218"/>
      <c r="AM98" s="218"/>
      <c r="AN98" s="218"/>
    </row>
    <row r="99" spans="1:40">
      <c r="A99" s="9">
        <f t="shared" si="4"/>
        <v>72</v>
      </c>
      <c r="B99" s="3"/>
      <c r="C99" s="97" t="s">
        <v>240</v>
      </c>
      <c r="D99" s="1" t="s">
        <v>75</v>
      </c>
      <c r="E99" s="1">
        <v>0</v>
      </c>
      <c r="F99" s="1"/>
      <c r="G99" s="1" t="str">
        <f>+G45</f>
        <v>NA</v>
      </c>
      <c r="H99" s="240" t="s">
        <v>290</v>
      </c>
      <c r="I99" s="1"/>
      <c r="J99" s="1">
        <v>0</v>
      </c>
      <c r="K99" s="1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8"/>
      <c r="AH99" s="218"/>
      <c r="AI99" s="218"/>
      <c r="AJ99" s="218"/>
      <c r="AK99" s="218"/>
      <c r="AL99" s="218"/>
      <c r="AM99" s="218"/>
      <c r="AN99" s="218"/>
    </row>
    <row r="100" spans="1:40" ht="15.75" thickBot="1">
      <c r="A100" s="9">
        <f t="shared" si="4"/>
        <v>73</v>
      </c>
      <c r="B100" s="3"/>
      <c r="C100" s="97" t="s">
        <v>241</v>
      </c>
      <c r="D100" s="1" t="str">
        <f>+D99</f>
        <v>263.i</v>
      </c>
      <c r="E100" s="4">
        <v>0</v>
      </c>
      <c r="F100" s="1"/>
      <c r="G100" s="1" t="str">
        <f>+G98</f>
        <v>GP</v>
      </c>
      <c r="H100" s="239">
        <f>+H98</f>
        <v>0.14483537247125666</v>
      </c>
      <c r="I100" s="1"/>
      <c r="J100" s="4">
        <f>+H100*E100</f>
        <v>0</v>
      </c>
      <c r="K100" s="1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8"/>
      <c r="AK100" s="218"/>
      <c r="AL100" s="218"/>
      <c r="AM100" s="218"/>
      <c r="AN100" s="218"/>
    </row>
    <row r="101" spans="1:40">
      <c r="A101" s="9">
        <f t="shared" si="4"/>
        <v>74</v>
      </c>
      <c r="B101" s="3"/>
      <c r="C101" s="97" t="str">
        <f>"TOTAL OTHER TAXES  (sum lines "&amp;A95&amp;" - "&amp;A100&amp;")"</f>
        <v>TOTAL OTHER TAXES  (sum lines 68 - 73)</v>
      </c>
      <c r="D101" s="1"/>
      <c r="E101" s="1">
        <f>SUM(E95:E100)</f>
        <v>7079629</v>
      </c>
      <c r="F101" s="1"/>
      <c r="G101" s="1"/>
      <c r="H101" s="239"/>
      <c r="I101" s="1"/>
      <c r="J101" s="1">
        <f>SUM(J95:J100)</f>
        <v>1025350.5775631168</v>
      </c>
      <c r="K101" s="1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18"/>
      <c r="AL101" s="218"/>
      <c r="AM101" s="218"/>
      <c r="AN101" s="218"/>
    </row>
    <row r="102" spans="1:40">
      <c r="A102" s="9">
        <f t="shared" si="4"/>
        <v>75</v>
      </c>
      <c r="B102" s="3"/>
      <c r="C102" s="97"/>
      <c r="D102" s="1"/>
      <c r="E102" s="1"/>
      <c r="F102" s="1"/>
      <c r="G102" s="1"/>
      <c r="H102" s="239"/>
      <c r="I102" s="1"/>
      <c r="J102" s="1"/>
      <c r="K102" s="1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218"/>
      <c r="AL102" s="218"/>
      <c r="AM102" s="218"/>
      <c r="AN102" s="218"/>
    </row>
    <row r="103" spans="1:40">
      <c r="A103" s="9">
        <f t="shared" si="4"/>
        <v>76</v>
      </c>
      <c r="B103" s="3"/>
      <c r="C103" s="97"/>
      <c r="D103" s="1"/>
      <c r="E103" s="1"/>
      <c r="F103" s="1"/>
      <c r="G103" s="1"/>
      <c r="H103" s="239"/>
      <c r="I103" s="1"/>
      <c r="J103" s="1"/>
      <c r="K103" s="1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218"/>
      <c r="AL103" s="218"/>
      <c r="AM103" s="218"/>
      <c r="AN103" s="218"/>
    </row>
    <row r="104" spans="1:40">
      <c r="A104" s="9">
        <f t="shared" si="4"/>
        <v>77</v>
      </c>
      <c r="B104" s="3"/>
      <c r="C104" s="97" t="s">
        <v>242</v>
      </c>
      <c r="D104" s="1" t="s">
        <v>88</v>
      </c>
      <c r="E104" s="1"/>
      <c r="F104" s="1"/>
      <c r="G104" s="3"/>
      <c r="H104" s="241"/>
      <c r="I104" s="1"/>
      <c r="J104" s="3"/>
      <c r="K104" s="1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  <c r="AE104" s="218"/>
      <c r="AF104" s="218"/>
      <c r="AG104" s="218"/>
      <c r="AH104" s="218"/>
      <c r="AI104" s="218"/>
      <c r="AJ104" s="218"/>
      <c r="AK104" s="218"/>
      <c r="AL104" s="218"/>
      <c r="AM104" s="218"/>
      <c r="AN104" s="218"/>
    </row>
    <row r="105" spans="1:40">
      <c r="A105" s="9">
        <f t="shared" si="4"/>
        <v>78</v>
      </c>
      <c r="B105" s="3"/>
      <c r="C105" s="242" t="s">
        <v>286</v>
      </c>
      <c r="D105" s="1"/>
      <c r="E105" s="243">
        <f>IF(E232&gt;0,1-(((1-E233)*(1-E232))/(1-E233*E232*E234)),0)</f>
        <v>0.20999999999999996</v>
      </c>
      <c r="F105" s="1"/>
      <c r="G105" s="3"/>
      <c r="H105" s="241"/>
      <c r="I105" s="1"/>
      <c r="J105" s="3"/>
      <c r="K105" s="1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8"/>
      <c r="AE105" s="218"/>
      <c r="AF105" s="218"/>
      <c r="AG105" s="218"/>
      <c r="AH105" s="218"/>
      <c r="AI105" s="218"/>
      <c r="AJ105" s="218"/>
      <c r="AK105" s="218"/>
      <c r="AL105" s="218"/>
      <c r="AM105" s="218"/>
      <c r="AN105" s="218"/>
    </row>
    <row r="106" spans="1:40">
      <c r="A106" s="9">
        <f t="shared" si="4"/>
        <v>79</v>
      </c>
      <c r="B106" s="3"/>
      <c r="C106" s="3" t="s">
        <v>287</v>
      </c>
      <c r="D106" s="1"/>
      <c r="E106" s="243">
        <f>IF(J199&gt;0,(E105/(1-E105))*(1-J196/J199),0)</f>
        <v>0.18685630889672661</v>
      </c>
      <c r="F106" s="1"/>
      <c r="G106" s="3"/>
      <c r="H106" s="241"/>
      <c r="I106" s="1"/>
      <c r="J106" s="3"/>
      <c r="K106" s="1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</row>
    <row r="107" spans="1:40">
      <c r="A107" s="9">
        <f t="shared" si="4"/>
        <v>80</v>
      </c>
      <c r="B107" s="3"/>
      <c r="C107" s="97" t="str">
        <f>"       where WCLTD=(line "&amp;A196&amp;") and R= (line "&amp;A199&amp;")"</f>
        <v xml:space="preserve">       where WCLTD=(line 154) and R= (line 157)</v>
      </c>
      <c r="D107" s="1"/>
      <c r="E107" s="1"/>
      <c r="F107" s="1"/>
      <c r="G107" s="3"/>
      <c r="H107" s="241"/>
      <c r="I107" s="1"/>
      <c r="J107" s="3"/>
      <c r="K107" s="1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8"/>
      <c r="AN107" s="218"/>
    </row>
    <row r="108" spans="1:40">
      <c r="A108" s="9">
        <f t="shared" si="4"/>
        <v>81</v>
      </c>
      <c r="B108" s="3"/>
      <c r="C108" s="97" t="s">
        <v>90</v>
      </c>
      <c r="D108" s="1"/>
      <c r="E108" s="1"/>
      <c r="F108" s="1"/>
      <c r="G108" s="3"/>
      <c r="H108" s="241"/>
      <c r="I108" s="1"/>
      <c r="J108" s="3"/>
      <c r="K108" s="1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  <c r="AK108" s="218"/>
      <c r="AL108" s="218"/>
      <c r="AM108" s="218"/>
      <c r="AN108" s="218"/>
    </row>
    <row r="109" spans="1:40">
      <c r="A109" s="9">
        <f t="shared" si="4"/>
        <v>82</v>
      </c>
      <c r="B109" s="3"/>
      <c r="C109" s="242"/>
      <c r="D109" s="1"/>
      <c r="E109" s="244"/>
      <c r="F109" s="1"/>
      <c r="G109" s="3"/>
      <c r="H109" s="241"/>
      <c r="I109" s="1"/>
      <c r="J109" s="3"/>
      <c r="K109" s="1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  <c r="AA109" s="218"/>
      <c r="AB109" s="218"/>
      <c r="AC109" s="218"/>
      <c r="AD109" s="218"/>
      <c r="AE109" s="218"/>
      <c r="AF109" s="218"/>
      <c r="AG109" s="218"/>
      <c r="AH109" s="218"/>
      <c r="AI109" s="218"/>
      <c r="AJ109" s="218"/>
      <c r="AK109" s="218"/>
      <c r="AL109" s="218"/>
      <c r="AM109" s="218"/>
      <c r="AN109" s="218"/>
    </row>
    <row r="110" spans="1:40">
      <c r="A110" s="9">
        <f t="shared" si="4"/>
        <v>83</v>
      </c>
      <c r="B110" s="3"/>
      <c r="C110" s="245" t="s">
        <v>276</v>
      </c>
      <c r="D110" s="3" t="str">
        <f>"(line "&amp;A106&amp;" * line "&amp;A113&amp;")"</f>
        <v>(line 79 * line 86)</v>
      </c>
      <c r="E110" s="86"/>
      <c r="F110" s="1"/>
      <c r="G110" s="1" t="s">
        <v>194</v>
      </c>
      <c r="H110" s="239" t="s">
        <v>194</v>
      </c>
      <c r="I110" s="1"/>
      <c r="J110" s="1">
        <f>E106*J112</f>
        <v>1693993.0189869832</v>
      </c>
      <c r="K110" s="1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218"/>
      <c r="AL110" s="218"/>
      <c r="AM110" s="218"/>
      <c r="AN110" s="218"/>
    </row>
    <row r="111" spans="1:40">
      <c r="A111" s="9">
        <f t="shared" si="4"/>
        <v>84</v>
      </c>
      <c r="B111" s="3"/>
      <c r="C111" s="246"/>
      <c r="D111" s="247"/>
      <c r="E111" s="1"/>
      <c r="F111" s="1"/>
      <c r="G111" s="1"/>
      <c r="H111" s="239"/>
      <c r="I111" s="1"/>
      <c r="J111" s="1"/>
      <c r="K111" s="1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218"/>
      <c r="AL111" s="218"/>
      <c r="AM111" s="218"/>
      <c r="AN111" s="218"/>
    </row>
    <row r="112" spans="1:40">
      <c r="A112" s="9">
        <f t="shared" si="4"/>
        <v>85</v>
      </c>
      <c r="B112" s="3"/>
      <c r="C112" s="97" t="s">
        <v>243</v>
      </c>
      <c r="D112" s="226"/>
      <c r="E112" s="1"/>
      <c r="F112" s="1"/>
      <c r="G112" s="1" t="s">
        <v>91</v>
      </c>
      <c r="H112" s="241"/>
      <c r="I112" s="1"/>
      <c r="J112" s="1">
        <f>+$J199*J62</f>
        <v>9065752.3365894705</v>
      </c>
      <c r="K112" s="1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</row>
    <row r="113" spans="1:40" ht="17.25" customHeight="1">
      <c r="A113" s="9">
        <f t="shared" si="4"/>
        <v>86</v>
      </c>
      <c r="B113" s="3"/>
      <c r="C113" s="245" t="str">
        <f>"  [ Rate Base (line "&amp;A62&amp;") * R (line "&amp;A199&amp;")]"</f>
        <v xml:space="preserve">  [ Rate Base (line 48) * R (line 157)]</v>
      </c>
      <c r="D113" s="3"/>
      <c r="E113" s="1"/>
      <c r="F113" s="1"/>
      <c r="G113" s="1"/>
      <c r="H113" s="241"/>
      <c r="I113" s="1"/>
      <c r="J113" s="1"/>
      <c r="K113" s="1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218"/>
      <c r="AL113" s="218"/>
      <c r="AM113" s="218"/>
      <c r="AN113" s="218"/>
    </row>
    <row r="114" spans="1:40">
      <c r="A114" s="9">
        <f t="shared" si="4"/>
        <v>87</v>
      </c>
      <c r="B114" s="3"/>
      <c r="C114" s="97"/>
      <c r="D114" s="3"/>
      <c r="E114" s="232"/>
      <c r="F114" s="1"/>
      <c r="G114" s="1"/>
      <c r="H114" s="241"/>
      <c r="I114" s="1"/>
      <c r="J114" s="232"/>
      <c r="K114" s="1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  <c r="AM114" s="218"/>
      <c r="AN114" s="218"/>
    </row>
    <row r="115" spans="1:40" ht="15.75" thickBot="1">
      <c r="A115" s="9">
        <f t="shared" si="4"/>
        <v>88</v>
      </c>
      <c r="B115" s="3"/>
      <c r="C115" s="97" t="str">
        <f>"REVENUE REQUIREMENT  (sum lines "&amp;A85&amp;", "&amp;A91&amp;", "&amp;A101&amp;", "&amp;A110&amp;", "&amp;A112&amp;")"</f>
        <v>REVENUE REQUIREMENT  (sum lines 58, 64, 74, 83, 85)</v>
      </c>
      <c r="D115" s="1"/>
      <c r="E115" s="248">
        <f>E110+E101+E91+E85</f>
        <v>48424784.700763769</v>
      </c>
      <c r="F115" s="1"/>
      <c r="G115" s="1"/>
      <c r="H115" s="1"/>
      <c r="I115" s="1"/>
      <c r="J115" s="95">
        <f>J110+J101+J91+J85+J112</f>
        <v>22556905.281872191</v>
      </c>
      <c r="K115" s="75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218"/>
      <c r="AL115" s="218"/>
      <c r="AM115" s="218"/>
      <c r="AN115" s="218"/>
    </row>
    <row r="116" spans="1:40" ht="15.75" thickTop="1">
      <c r="A116" s="9">
        <f t="shared" si="4"/>
        <v>89</v>
      </c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  <c r="AK116" s="218"/>
      <c r="AL116" s="218"/>
      <c r="AM116" s="218"/>
      <c r="AN116" s="218"/>
    </row>
    <row r="117" spans="1:40">
      <c r="A117" s="9">
        <f t="shared" si="4"/>
        <v>90</v>
      </c>
      <c r="B117" s="3"/>
      <c r="C117" s="97" t="s">
        <v>434</v>
      </c>
      <c r="D117" s="3"/>
      <c r="E117" s="3"/>
      <c r="F117" s="3"/>
      <c r="G117" s="3"/>
      <c r="H117" s="3"/>
      <c r="I117" s="3"/>
      <c r="J117" s="229">
        <v>21357079.660677493</v>
      </c>
      <c r="K117" s="1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</row>
    <row r="118" spans="1:40">
      <c r="A118" s="9">
        <f t="shared" si="4"/>
        <v>91</v>
      </c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</row>
    <row r="119" spans="1:40" ht="15.75" thickBot="1">
      <c r="A119" s="9">
        <f t="shared" si="4"/>
        <v>92</v>
      </c>
      <c r="B119" s="3"/>
      <c r="C119" s="3" t="str">
        <f>"TRUE-UP AMOUNT TO BE (REFUNDED)/PAID (line "&amp;A115&amp;" - line "&amp;A117&amp;")"</f>
        <v>TRUE-UP AMOUNT TO BE (REFUNDED)/PAID (line 88 - line 90)</v>
      </c>
      <c r="D119" s="3"/>
      <c r="E119" s="3"/>
      <c r="F119" s="3"/>
      <c r="G119" s="3"/>
      <c r="H119" s="3"/>
      <c r="I119" s="3"/>
      <c r="J119" s="248">
        <f>+J115-J117</f>
        <v>1199825.6211946979</v>
      </c>
      <c r="K119" s="1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  <c r="AK119" s="218"/>
      <c r="AL119" s="218"/>
      <c r="AM119" s="218"/>
      <c r="AN119" s="218"/>
    </row>
    <row r="120" spans="1:40" ht="15.75" thickTop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</row>
    <row r="121" spans="1:40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  <c r="AK121" s="218"/>
      <c r="AL121" s="218"/>
      <c r="AM121" s="218"/>
      <c r="AN121" s="218"/>
    </row>
    <row r="122" spans="1:40">
      <c r="A122" s="9"/>
      <c r="B122" s="3"/>
      <c r="C122" s="3"/>
      <c r="D122" s="3"/>
      <c r="E122" s="3"/>
      <c r="F122" s="3"/>
      <c r="G122" s="3"/>
      <c r="H122" s="3"/>
      <c r="I122" s="182" t="s">
        <v>418</v>
      </c>
      <c r="J122" s="249">
        <f>J1</f>
        <v>43616</v>
      </c>
      <c r="K122" s="1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</row>
    <row r="123" spans="1:40">
      <c r="A123" s="9"/>
      <c r="B123" s="3"/>
      <c r="C123" s="3"/>
      <c r="D123" s="3"/>
      <c r="E123" s="3"/>
      <c r="F123" s="3"/>
      <c r="G123" s="3"/>
      <c r="I123" s="182" t="str">
        <f>$I$2</f>
        <v>Service Year</v>
      </c>
      <c r="J123" s="75">
        <f>$J$2</f>
        <v>2018</v>
      </c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  <c r="AK123" s="218"/>
      <c r="AL123" s="218"/>
      <c r="AM123" s="218"/>
      <c r="AN123" s="218"/>
    </row>
    <row r="124" spans="1:40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</row>
    <row r="125" spans="1:40" ht="15.75">
      <c r="A125" s="305" t="s">
        <v>321</v>
      </c>
      <c r="B125" s="305"/>
      <c r="C125" s="305"/>
      <c r="D125" s="305"/>
      <c r="E125" s="305"/>
      <c r="F125" s="305"/>
      <c r="G125" s="305"/>
      <c r="H125" s="305"/>
      <c r="I125" s="305"/>
      <c r="J125" s="305"/>
      <c r="K125" s="305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</row>
    <row r="126" spans="1:40" ht="15.75">
      <c r="A126" s="306" t="s">
        <v>195</v>
      </c>
      <c r="B126" s="306"/>
      <c r="C126" s="306"/>
      <c r="D126" s="306"/>
      <c r="E126" s="306"/>
      <c r="F126" s="306"/>
      <c r="G126" s="306"/>
      <c r="H126" s="306"/>
      <c r="I126" s="306"/>
      <c r="J126" s="306"/>
      <c r="K126" s="306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8"/>
    </row>
    <row r="127" spans="1:40">
      <c r="A127" s="3"/>
      <c r="B127" s="3"/>
      <c r="C127" s="75"/>
      <c r="D127" s="75"/>
      <c r="F127" s="75"/>
      <c r="G127" s="75"/>
      <c r="H127" s="75"/>
      <c r="I127" s="75"/>
      <c r="J127" s="75"/>
      <c r="K127" s="75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  <c r="AK127" s="218"/>
      <c r="AL127" s="218"/>
      <c r="AM127" s="218"/>
      <c r="AN127" s="218"/>
    </row>
    <row r="128" spans="1:40" ht="15.75">
      <c r="A128" s="307" t="s">
        <v>320</v>
      </c>
      <c r="B128" s="307"/>
      <c r="C128" s="307"/>
      <c r="D128" s="307"/>
      <c r="E128" s="307"/>
      <c r="F128" s="307"/>
      <c r="G128" s="307"/>
      <c r="H128" s="307"/>
      <c r="I128" s="307"/>
      <c r="J128" s="307"/>
      <c r="K128" s="307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  <c r="AK128" s="218"/>
      <c r="AL128" s="218"/>
      <c r="AM128" s="218"/>
      <c r="AN128" s="218"/>
    </row>
    <row r="129" spans="1:40">
      <c r="A129" s="9"/>
      <c r="B129" s="3"/>
      <c r="C129" s="3"/>
      <c r="D129" s="97"/>
      <c r="E129" s="97"/>
      <c r="F129" s="97"/>
      <c r="G129" s="97"/>
      <c r="H129" s="97"/>
      <c r="I129" s="97"/>
      <c r="J129" s="97"/>
      <c r="K129" s="97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</row>
    <row r="130" spans="1:40" ht="15.75">
      <c r="A130" s="308" t="s">
        <v>3</v>
      </c>
      <c r="B130" s="308"/>
      <c r="C130" s="308"/>
      <c r="D130" s="308"/>
      <c r="E130" s="308"/>
      <c r="F130" s="308"/>
      <c r="G130" s="308"/>
      <c r="H130" s="308"/>
      <c r="I130" s="308"/>
      <c r="J130" s="308"/>
      <c r="K130" s="30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  <c r="AE130" s="218"/>
      <c r="AF130" s="218"/>
      <c r="AG130" s="218"/>
      <c r="AH130" s="218"/>
      <c r="AI130" s="218"/>
      <c r="AJ130" s="218"/>
      <c r="AK130" s="218"/>
      <c r="AL130" s="218"/>
      <c r="AM130" s="218"/>
      <c r="AN130" s="218"/>
    </row>
    <row r="131" spans="1:40" ht="15.75">
      <c r="A131" s="9"/>
      <c r="B131" s="3"/>
      <c r="C131" s="192"/>
      <c r="D131" s="75"/>
      <c r="E131" s="75"/>
      <c r="F131" s="75"/>
      <c r="G131" s="75"/>
      <c r="H131" s="75"/>
      <c r="I131" s="75"/>
      <c r="J131" s="75"/>
      <c r="K131" s="1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  <c r="AE131" s="218"/>
      <c r="AF131" s="218"/>
      <c r="AG131" s="218"/>
      <c r="AH131" s="218"/>
      <c r="AI131" s="218"/>
      <c r="AJ131" s="218"/>
      <c r="AK131" s="218"/>
      <c r="AL131" s="218"/>
      <c r="AM131" s="218"/>
      <c r="AN131" s="218"/>
    </row>
    <row r="132" spans="1:40" ht="15.75">
      <c r="A132" s="9" t="s">
        <v>196</v>
      </c>
      <c r="B132" s="3"/>
      <c r="C132" s="192"/>
      <c r="D132" s="75"/>
      <c r="E132" s="75"/>
      <c r="F132" s="75"/>
      <c r="G132" s="75"/>
      <c r="H132" s="75"/>
      <c r="I132" s="75"/>
      <c r="J132" s="75"/>
      <c r="K132" s="1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218"/>
      <c r="AE132" s="218"/>
      <c r="AF132" s="218"/>
      <c r="AG132" s="218"/>
      <c r="AH132" s="218"/>
      <c r="AI132" s="218"/>
      <c r="AJ132" s="218"/>
      <c r="AK132" s="218"/>
      <c r="AL132" s="218"/>
      <c r="AM132" s="218"/>
      <c r="AN132" s="218"/>
    </row>
    <row r="133" spans="1:40" ht="15.75" thickBot="1">
      <c r="A133" s="191" t="s">
        <v>197</v>
      </c>
      <c r="B133" s="3"/>
      <c r="C133" s="96" t="s">
        <v>117</v>
      </c>
      <c r="D133" s="75"/>
      <c r="E133" s="75"/>
      <c r="F133" s="75"/>
      <c r="G133" s="75"/>
      <c r="H133" s="75"/>
      <c r="I133" s="3"/>
      <c r="J133" s="3"/>
      <c r="K133" s="1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  <c r="AB133" s="218"/>
      <c r="AC133" s="218"/>
      <c r="AD133" s="218"/>
      <c r="AE133" s="218"/>
      <c r="AF133" s="218"/>
      <c r="AG133" s="218"/>
      <c r="AH133" s="218"/>
      <c r="AI133" s="218"/>
      <c r="AJ133" s="218"/>
      <c r="AK133" s="218"/>
      <c r="AL133" s="218"/>
      <c r="AM133" s="218"/>
      <c r="AN133" s="218"/>
    </row>
    <row r="134" spans="1:40" ht="15.75" thickBot="1">
      <c r="A134" s="9"/>
      <c r="B134" s="3"/>
      <c r="C134" s="96"/>
      <c r="D134" s="75"/>
      <c r="E134" s="4" t="s">
        <v>0</v>
      </c>
      <c r="F134" s="75"/>
      <c r="G134" s="75"/>
      <c r="H134" s="75"/>
      <c r="I134" s="75"/>
      <c r="J134" s="75"/>
      <c r="K134" s="1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8"/>
      <c r="Z134" s="218"/>
      <c r="AA134" s="218"/>
      <c r="AB134" s="218"/>
      <c r="AC134" s="218"/>
      <c r="AD134" s="218"/>
      <c r="AE134" s="218"/>
      <c r="AF134" s="218"/>
      <c r="AG134" s="218"/>
      <c r="AH134" s="218"/>
      <c r="AI134" s="218"/>
      <c r="AJ134" s="218"/>
      <c r="AK134" s="218"/>
      <c r="AL134" s="218"/>
      <c r="AM134" s="218"/>
      <c r="AN134" s="218"/>
    </row>
    <row r="135" spans="1:40" ht="16.5" customHeight="1">
      <c r="A135" s="9">
        <f>+A119+1</f>
        <v>93</v>
      </c>
      <c r="B135" s="3"/>
      <c r="C135" s="2" t="s">
        <v>105</v>
      </c>
      <c r="D135" s="75"/>
      <c r="E135" s="1" t="str">
        <f>"Column (3) line "&amp;A16&amp;""</f>
        <v>Column (3) line 2</v>
      </c>
      <c r="F135" s="1"/>
      <c r="G135" s="1"/>
      <c r="H135" s="1"/>
      <c r="I135" s="1"/>
      <c r="J135" s="1">
        <f>+E16</f>
        <v>192773341.74615386</v>
      </c>
      <c r="K135" s="1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8"/>
      <c r="Z135" s="218"/>
      <c r="AA135" s="218"/>
      <c r="AB135" s="218"/>
      <c r="AC135" s="218"/>
      <c r="AD135" s="218"/>
      <c r="AE135" s="218"/>
      <c r="AF135" s="218"/>
      <c r="AG135" s="218"/>
      <c r="AH135" s="218"/>
      <c r="AI135" s="218"/>
      <c r="AJ135" s="218"/>
      <c r="AK135" s="218"/>
      <c r="AL135" s="218"/>
      <c r="AM135" s="218"/>
      <c r="AN135" s="218"/>
    </row>
    <row r="136" spans="1:40">
      <c r="A136" s="9">
        <f>+A135+1</f>
        <v>94</v>
      </c>
      <c r="B136" s="3"/>
      <c r="C136" s="2" t="s">
        <v>86</v>
      </c>
      <c r="D136" s="3"/>
      <c r="E136" s="3" t="s">
        <v>170</v>
      </c>
      <c r="F136" s="3"/>
      <c r="G136" s="3"/>
      <c r="H136" s="3"/>
      <c r="I136" s="3"/>
      <c r="J136" s="1">
        <v>25389776.915639967</v>
      </c>
      <c r="K136" s="1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8"/>
      <c r="Z136" s="218"/>
      <c r="AA136" s="218"/>
      <c r="AB136" s="218"/>
      <c r="AC136" s="218"/>
      <c r="AD136" s="218"/>
      <c r="AE136" s="218"/>
      <c r="AF136" s="218"/>
      <c r="AG136" s="218"/>
      <c r="AH136" s="218"/>
      <c r="AI136" s="218"/>
      <c r="AJ136" s="218"/>
      <c r="AK136" s="218"/>
      <c r="AL136" s="218"/>
      <c r="AM136" s="218"/>
      <c r="AN136" s="218"/>
    </row>
    <row r="137" spans="1:40" ht="15.75" thickBot="1">
      <c r="A137" s="9">
        <f t="shared" ref="A137:A199" si="5">+A136+1</f>
        <v>95</v>
      </c>
      <c r="B137" s="3"/>
      <c r="C137" s="250" t="s">
        <v>87</v>
      </c>
      <c r="D137" s="251"/>
      <c r="E137" s="4" t="s">
        <v>170</v>
      </c>
      <c r="F137" s="1"/>
      <c r="G137" s="1"/>
      <c r="H137" s="193"/>
      <c r="I137" s="1"/>
      <c r="J137" s="4">
        <v>0</v>
      </c>
      <c r="K137" s="1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  <c r="AB137" s="218"/>
      <c r="AC137" s="218"/>
      <c r="AD137" s="218"/>
      <c r="AE137" s="218"/>
      <c r="AF137" s="218"/>
      <c r="AG137" s="218"/>
      <c r="AH137" s="218"/>
      <c r="AI137" s="218"/>
      <c r="AJ137" s="218"/>
      <c r="AK137" s="218"/>
      <c r="AL137" s="218"/>
      <c r="AM137" s="218"/>
      <c r="AN137" s="218"/>
    </row>
    <row r="138" spans="1:40">
      <c r="A138" s="9">
        <f t="shared" si="5"/>
        <v>96</v>
      </c>
      <c r="B138" s="3"/>
      <c r="C138" s="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75"/>
      <c r="E138" s="1"/>
      <c r="F138" s="1"/>
      <c r="G138" s="1"/>
      <c r="H138" s="193"/>
      <c r="I138" s="1"/>
      <c r="J138" s="1">
        <f>J135-J136-J137</f>
        <v>167383564.83051389</v>
      </c>
      <c r="K138" s="1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218"/>
      <c r="X138" s="218"/>
      <c r="Y138" s="218"/>
      <c r="Z138" s="218"/>
      <c r="AA138" s="218"/>
      <c r="AB138" s="218"/>
      <c r="AC138" s="218"/>
      <c r="AD138" s="218"/>
      <c r="AE138" s="218"/>
      <c r="AF138" s="218"/>
      <c r="AG138" s="218"/>
      <c r="AH138" s="218"/>
      <c r="AI138" s="218"/>
      <c r="AJ138" s="218"/>
      <c r="AK138" s="218"/>
      <c r="AL138" s="218"/>
      <c r="AM138" s="218"/>
      <c r="AN138" s="218"/>
    </row>
    <row r="139" spans="1:40">
      <c r="A139" s="9">
        <f t="shared" si="5"/>
        <v>97</v>
      </c>
      <c r="B139" s="3"/>
      <c r="C139" s="2" t="str">
        <f>"Plus Common Use AC Facilities (line "&amp;A149&amp;")"</f>
        <v>Plus Common Use AC Facilities (line 107)</v>
      </c>
      <c r="D139" s="75"/>
      <c r="E139" s="1"/>
      <c r="F139" s="1"/>
      <c r="G139" s="1"/>
      <c r="H139" s="193"/>
      <c r="I139" s="1"/>
      <c r="J139" s="1">
        <f>+J149</f>
        <v>9671321.1449999996</v>
      </c>
      <c r="K139" s="1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  <c r="Y139" s="218"/>
      <c r="Z139" s="218"/>
      <c r="AA139" s="218"/>
      <c r="AB139" s="218"/>
      <c r="AC139" s="218"/>
      <c r="AD139" s="218"/>
      <c r="AE139" s="218"/>
      <c r="AF139" s="218"/>
      <c r="AG139" s="218"/>
      <c r="AH139" s="218"/>
      <c r="AI139" s="218"/>
      <c r="AJ139" s="218"/>
      <c r="AK139" s="218"/>
      <c r="AL139" s="218"/>
      <c r="AM139" s="218"/>
      <c r="AN139" s="218"/>
    </row>
    <row r="140" spans="1:40">
      <c r="A140" s="9">
        <f t="shared" si="5"/>
        <v>98</v>
      </c>
      <c r="B140" s="3"/>
      <c r="C140" s="2" t="str">
        <f>"Total Gross Plant for the CUS System (line "&amp;A138&amp;" plus line "&amp;A139&amp;")"</f>
        <v>Total Gross Plant for the CUS System (line 96 plus line 97)</v>
      </c>
      <c r="D140" s="75"/>
      <c r="E140" s="1"/>
      <c r="F140" s="1"/>
      <c r="G140" s="1"/>
      <c r="H140" s="193"/>
      <c r="I140" s="1"/>
      <c r="J140" s="252">
        <f>SUM(J138:J139)</f>
        <v>177054885.97551391</v>
      </c>
      <c r="K140" s="1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8"/>
      <c r="AB140" s="218"/>
      <c r="AC140" s="218"/>
      <c r="AD140" s="218"/>
      <c r="AE140" s="218"/>
      <c r="AF140" s="218"/>
      <c r="AG140" s="218"/>
      <c r="AH140" s="218"/>
      <c r="AI140" s="218"/>
      <c r="AJ140" s="218"/>
      <c r="AK140" s="218"/>
      <c r="AL140" s="218"/>
      <c r="AM140" s="218"/>
      <c r="AN140" s="218"/>
    </row>
    <row r="141" spans="1:40">
      <c r="A141" s="9">
        <f t="shared" si="5"/>
        <v>99</v>
      </c>
      <c r="B141" s="3"/>
      <c r="C141" s="2" t="str">
        <f>"Total CUS Plant (line "&amp;A135&amp;" plus line "&amp;A149&amp;")"</f>
        <v>Total CUS Plant (line 93 plus line 107)</v>
      </c>
      <c r="D141" s="75"/>
      <c r="E141" s="1"/>
      <c r="F141" s="1"/>
      <c r="G141" s="1"/>
      <c r="H141" s="193"/>
      <c r="I141" s="1"/>
      <c r="J141" s="232">
        <f>+J135+J149</f>
        <v>202444662.89115387</v>
      </c>
      <c r="K141" s="1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218"/>
      <c r="AE141" s="218"/>
      <c r="AF141" s="218"/>
      <c r="AG141" s="218"/>
      <c r="AH141" s="218"/>
      <c r="AI141" s="218"/>
      <c r="AJ141" s="218"/>
      <c r="AK141" s="218"/>
      <c r="AL141" s="218"/>
      <c r="AM141" s="218"/>
      <c r="AN141" s="218"/>
    </row>
    <row r="142" spans="1:40">
      <c r="A142" s="9">
        <f t="shared" si="5"/>
        <v>100</v>
      </c>
      <c r="B142" s="3"/>
      <c r="C142" s="3"/>
      <c r="D142" s="75"/>
      <c r="E142" s="1"/>
      <c r="F142" s="1"/>
      <c r="G142" s="1"/>
      <c r="H142" s="193"/>
      <c r="I142" s="1"/>
      <c r="J142" s="3"/>
      <c r="K142" s="1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  <c r="AB142" s="218"/>
      <c r="AC142" s="218"/>
      <c r="AD142" s="218"/>
      <c r="AE142" s="218"/>
      <c r="AF142" s="218"/>
      <c r="AG142" s="218"/>
      <c r="AH142" s="218"/>
      <c r="AI142" s="218"/>
      <c r="AJ142" s="218"/>
      <c r="AK142" s="218"/>
      <c r="AL142" s="218"/>
      <c r="AM142" s="218"/>
      <c r="AN142" s="218"/>
    </row>
    <row r="143" spans="1:40">
      <c r="A143" s="9">
        <f t="shared" si="5"/>
        <v>101</v>
      </c>
      <c r="B143" s="3"/>
      <c r="C143" s="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186"/>
      <c r="E143" s="253"/>
      <c r="F143" s="253"/>
      <c r="G143" s="253"/>
      <c r="H143" s="220"/>
      <c r="I143" s="1" t="s">
        <v>244</v>
      </c>
      <c r="J143" s="254">
        <f>ROUND(IF(J141&gt;0,J140/J141,0),6)</f>
        <v>0.87458400000000003</v>
      </c>
      <c r="K143" s="1"/>
      <c r="L143" s="218"/>
      <c r="M143" s="218"/>
      <c r="N143" s="218"/>
      <c r="O143" s="218"/>
      <c r="P143" s="218"/>
      <c r="Q143" s="218"/>
      <c r="R143" s="218"/>
      <c r="S143" s="218"/>
      <c r="T143" s="218"/>
      <c r="U143" s="218"/>
      <c r="V143" s="218"/>
      <c r="W143" s="218"/>
      <c r="X143" s="218"/>
      <c r="Y143" s="218"/>
      <c r="Z143" s="218"/>
      <c r="AA143" s="218"/>
      <c r="AB143" s="218"/>
      <c r="AC143" s="218"/>
      <c r="AD143" s="218"/>
      <c r="AE143" s="218"/>
      <c r="AF143" s="218"/>
      <c r="AG143" s="218"/>
      <c r="AH143" s="218"/>
      <c r="AI143" s="218"/>
      <c r="AJ143" s="218"/>
      <c r="AK143" s="218"/>
      <c r="AL143" s="218"/>
      <c r="AM143" s="218"/>
      <c r="AN143" s="218"/>
    </row>
    <row r="144" spans="1:40">
      <c r="A144" s="9">
        <f t="shared" si="5"/>
        <v>102</v>
      </c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  <c r="AA144" s="218"/>
      <c r="AB144" s="218"/>
      <c r="AC144" s="218"/>
      <c r="AD144" s="218"/>
      <c r="AE144" s="218"/>
      <c r="AF144" s="218"/>
      <c r="AG144" s="218"/>
      <c r="AH144" s="218"/>
      <c r="AI144" s="218"/>
      <c r="AJ144" s="218"/>
      <c r="AK144" s="218"/>
      <c r="AL144" s="218"/>
      <c r="AM144" s="218"/>
      <c r="AN144" s="218"/>
    </row>
    <row r="145" spans="1:40" ht="15.75" thickBot="1">
      <c r="A145" s="9">
        <f t="shared" si="5"/>
        <v>103</v>
      </c>
      <c r="B145" s="3"/>
      <c r="C145" s="96" t="s">
        <v>103</v>
      </c>
      <c r="D145" s="75"/>
      <c r="E145" s="4" t="s">
        <v>0</v>
      </c>
      <c r="F145" s="75"/>
      <c r="G145" s="75"/>
      <c r="H145" s="75"/>
      <c r="I145" s="75"/>
      <c r="J145" s="75"/>
      <c r="K145" s="3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  <c r="Y145" s="218"/>
      <c r="Z145" s="218"/>
      <c r="AA145" s="218"/>
      <c r="AB145" s="218"/>
      <c r="AC145" s="218"/>
      <c r="AD145" s="218"/>
      <c r="AE145" s="218"/>
      <c r="AF145" s="218"/>
      <c r="AG145" s="218"/>
      <c r="AH145" s="218"/>
      <c r="AI145" s="218"/>
      <c r="AJ145" s="218"/>
      <c r="AK145" s="218"/>
      <c r="AL145" s="218"/>
      <c r="AM145" s="218"/>
      <c r="AN145" s="218"/>
    </row>
    <row r="146" spans="1:40">
      <c r="A146" s="9">
        <f t="shared" si="5"/>
        <v>104</v>
      </c>
      <c r="B146" s="3"/>
      <c r="C146" s="2" t="s">
        <v>104</v>
      </c>
      <c r="D146" s="75"/>
      <c r="E146" s="1" t="str">
        <f>"Column (3) line "&amp;A17&amp;""</f>
        <v>Column (3) line 3</v>
      </c>
      <c r="F146" s="1"/>
      <c r="G146" s="1"/>
      <c r="H146" s="1"/>
      <c r="I146" s="1"/>
      <c r="J146" s="1">
        <f>+E17</f>
        <v>383755429.39076924</v>
      </c>
      <c r="K146" s="3"/>
      <c r="L146" s="218"/>
      <c r="M146" s="218"/>
      <c r="N146" s="218"/>
      <c r="O146" s="218"/>
      <c r="P146" s="218"/>
      <c r="Q146" s="218"/>
      <c r="R146" s="218"/>
      <c r="S146" s="218"/>
      <c r="T146" s="218"/>
      <c r="U146" s="218"/>
      <c r="V146" s="218"/>
      <c r="W146" s="218"/>
      <c r="X146" s="218"/>
      <c r="Y146" s="218"/>
      <c r="Z146" s="218"/>
      <c r="AA146" s="218"/>
      <c r="AB146" s="218"/>
      <c r="AC146" s="218"/>
      <c r="AD146" s="218"/>
      <c r="AE146" s="218"/>
      <c r="AF146" s="218"/>
      <c r="AG146" s="218"/>
      <c r="AH146" s="218"/>
      <c r="AI146" s="218"/>
      <c r="AJ146" s="218"/>
      <c r="AK146" s="218"/>
      <c r="AL146" s="218"/>
      <c r="AM146" s="218"/>
      <c r="AN146" s="218"/>
    </row>
    <row r="147" spans="1:40">
      <c r="A147" s="9">
        <f t="shared" si="5"/>
        <v>105</v>
      </c>
      <c r="B147" s="3"/>
      <c r="C147" s="2" t="s">
        <v>107</v>
      </c>
      <c r="D147" s="3"/>
      <c r="E147" s="3" t="s">
        <v>170</v>
      </c>
      <c r="F147" s="3"/>
      <c r="G147" s="3"/>
      <c r="H147" s="3"/>
      <c r="I147" s="3"/>
      <c r="J147" s="1">
        <f>+J146-J149</f>
        <v>374084108.24576926</v>
      </c>
      <c r="K147" s="3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  <c r="Z147" s="218"/>
      <c r="AA147" s="218"/>
      <c r="AB147" s="218"/>
      <c r="AC147" s="218"/>
      <c r="AD147" s="218"/>
      <c r="AE147" s="218"/>
      <c r="AF147" s="218"/>
      <c r="AG147" s="218"/>
      <c r="AH147" s="218"/>
      <c r="AI147" s="218"/>
      <c r="AJ147" s="218"/>
      <c r="AK147" s="218"/>
      <c r="AL147" s="218"/>
      <c r="AM147" s="218"/>
      <c r="AN147" s="218"/>
    </row>
    <row r="148" spans="1:40" ht="15.75" thickBot="1">
      <c r="A148" s="9">
        <f t="shared" si="5"/>
        <v>106</v>
      </c>
      <c r="B148" s="3"/>
      <c r="C148" s="250" t="s">
        <v>108</v>
      </c>
      <c r="D148" s="251"/>
      <c r="E148" s="4" t="s">
        <v>170</v>
      </c>
      <c r="F148" s="1"/>
      <c r="G148" s="1"/>
      <c r="H148" s="193"/>
      <c r="I148" s="1"/>
      <c r="J148" s="4">
        <v>0</v>
      </c>
      <c r="K148" s="3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  <c r="AB148" s="218"/>
      <c r="AC148" s="218"/>
      <c r="AD148" s="218"/>
      <c r="AE148" s="218"/>
      <c r="AF148" s="218"/>
      <c r="AG148" s="218"/>
      <c r="AH148" s="218"/>
      <c r="AI148" s="218"/>
      <c r="AJ148" s="218"/>
      <c r="AK148" s="218"/>
      <c r="AL148" s="218"/>
      <c r="AM148" s="218"/>
      <c r="AN148" s="218"/>
    </row>
    <row r="149" spans="1:40">
      <c r="A149" s="9">
        <f t="shared" si="5"/>
        <v>107</v>
      </c>
      <c r="B149" s="3"/>
      <c r="C149" s="2" t="str">
        <f>"Common Use AC Facilities (line "&amp;A146&amp;" less lines "&amp;A147&amp;" &amp; "&amp;A148&amp;")"</f>
        <v>Common Use AC Facilities (line 104 less lines 105 &amp; 106)</v>
      </c>
      <c r="D149" s="75"/>
      <c r="E149" s="1"/>
      <c r="F149" s="1"/>
      <c r="G149" s="1"/>
      <c r="H149" s="193"/>
      <c r="I149" s="1"/>
      <c r="J149" s="1">
        <v>9671321.1449999996</v>
      </c>
      <c r="K149" s="3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  <c r="Y149" s="218"/>
      <c r="Z149" s="218"/>
      <c r="AA149" s="218"/>
      <c r="AB149" s="218"/>
      <c r="AC149" s="218"/>
      <c r="AD149" s="218"/>
      <c r="AE149" s="218"/>
      <c r="AF149" s="218"/>
      <c r="AG149" s="218"/>
      <c r="AH149" s="218"/>
      <c r="AI149" s="218"/>
      <c r="AJ149" s="218"/>
      <c r="AK149" s="218"/>
      <c r="AL149" s="218"/>
      <c r="AM149" s="218"/>
      <c r="AN149" s="218"/>
    </row>
    <row r="150" spans="1:40">
      <c r="A150" s="9">
        <f t="shared" si="5"/>
        <v>108</v>
      </c>
      <c r="B150" s="3"/>
      <c r="C150" s="3"/>
      <c r="D150" s="75"/>
      <c r="E150" s="1"/>
      <c r="F150" s="1"/>
      <c r="G150" s="1"/>
      <c r="H150" s="193"/>
      <c r="I150" s="1"/>
      <c r="J150" s="3"/>
      <c r="K150" s="3"/>
      <c r="L150" s="218"/>
      <c r="M150" s="218"/>
      <c r="N150" s="218"/>
      <c r="O150" s="218"/>
      <c r="P150" s="218"/>
      <c r="Q150" s="218"/>
      <c r="R150" s="218"/>
      <c r="S150" s="218"/>
      <c r="T150" s="218"/>
      <c r="U150" s="218"/>
      <c r="V150" s="218"/>
      <c r="W150" s="218"/>
      <c r="X150" s="218"/>
      <c r="Y150" s="218"/>
      <c r="Z150" s="218"/>
      <c r="AA150" s="218"/>
      <c r="AB150" s="218"/>
      <c r="AC150" s="218"/>
      <c r="AD150" s="218"/>
      <c r="AE150" s="218"/>
      <c r="AF150" s="218"/>
      <c r="AG150" s="218"/>
      <c r="AH150" s="218"/>
      <c r="AI150" s="218"/>
      <c r="AJ150" s="218"/>
      <c r="AK150" s="218"/>
      <c r="AL150" s="218"/>
      <c r="AM150" s="218"/>
      <c r="AN150" s="218"/>
    </row>
    <row r="151" spans="1:40">
      <c r="A151" s="9">
        <f t="shared" si="5"/>
        <v>109</v>
      </c>
      <c r="B151" s="3"/>
      <c r="C151" s="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186"/>
      <c r="E151" s="253"/>
      <c r="F151" s="253"/>
      <c r="G151" s="253"/>
      <c r="H151" s="220"/>
      <c r="I151" s="1" t="s">
        <v>106</v>
      </c>
      <c r="J151" s="254">
        <f>ROUND(IF(J146&gt;0,J149/J146,0),6)</f>
        <v>2.5201999999999999E-2</v>
      </c>
      <c r="K151" s="3"/>
      <c r="L151" s="218"/>
      <c r="M151" s="218"/>
      <c r="N151" s="218"/>
      <c r="O151" s="218"/>
      <c r="P151" s="218"/>
      <c r="Q151" s="218"/>
      <c r="R151" s="218"/>
      <c r="S151" s="218"/>
      <c r="T151" s="218"/>
      <c r="U151" s="218"/>
      <c r="V151" s="218"/>
      <c r="W151" s="218"/>
      <c r="X151" s="218"/>
      <c r="Y151" s="218"/>
      <c r="Z151" s="218"/>
      <c r="AA151" s="218"/>
      <c r="AB151" s="218"/>
      <c r="AC151" s="218"/>
      <c r="AD151" s="218"/>
      <c r="AE151" s="218"/>
      <c r="AF151" s="218"/>
      <c r="AG151" s="218"/>
      <c r="AH151" s="218"/>
      <c r="AI151" s="218"/>
      <c r="AJ151" s="218"/>
      <c r="AK151" s="218"/>
      <c r="AL151" s="218"/>
      <c r="AM151" s="218"/>
      <c r="AN151" s="218"/>
    </row>
    <row r="152" spans="1:40">
      <c r="A152" s="9">
        <f t="shared" si="5"/>
        <v>110</v>
      </c>
      <c r="B152" s="3"/>
      <c r="C152" s="3"/>
      <c r="D152" s="75"/>
      <c r="E152" s="1"/>
      <c r="F152" s="1"/>
      <c r="G152" s="1"/>
      <c r="H152" s="193"/>
      <c r="I152" s="1"/>
      <c r="J152" s="3"/>
      <c r="K152" s="3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  <c r="X152" s="218"/>
      <c r="Y152" s="218"/>
      <c r="Z152" s="218"/>
      <c r="AA152" s="218"/>
      <c r="AB152" s="218"/>
      <c r="AC152" s="218"/>
      <c r="AD152" s="218"/>
      <c r="AE152" s="218"/>
      <c r="AF152" s="218"/>
      <c r="AG152" s="218"/>
      <c r="AH152" s="218"/>
      <c r="AI152" s="218"/>
      <c r="AJ152" s="218"/>
      <c r="AK152" s="218"/>
      <c r="AL152" s="218"/>
      <c r="AM152" s="218"/>
      <c r="AN152" s="218"/>
    </row>
    <row r="153" spans="1:40" ht="15.75" thickBot="1">
      <c r="A153" s="9">
        <f t="shared" si="5"/>
        <v>111</v>
      </c>
      <c r="B153" s="3"/>
      <c r="C153" s="96" t="s">
        <v>222</v>
      </c>
      <c r="D153" s="75"/>
      <c r="E153" s="4" t="s">
        <v>0</v>
      </c>
      <c r="F153" s="1"/>
      <c r="G153" s="1"/>
      <c r="H153" s="193"/>
      <c r="I153" s="1"/>
      <c r="J153" s="1"/>
      <c r="K153" s="3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  <c r="AA153" s="218"/>
      <c r="AB153" s="218"/>
      <c r="AC153" s="218"/>
      <c r="AD153" s="218"/>
      <c r="AE153" s="218"/>
      <c r="AF153" s="218"/>
      <c r="AG153" s="218"/>
      <c r="AH153" s="218"/>
      <c r="AI153" s="218"/>
      <c r="AJ153" s="218"/>
      <c r="AK153" s="218"/>
      <c r="AL153" s="218"/>
      <c r="AM153" s="218"/>
      <c r="AN153" s="218"/>
    </row>
    <row r="154" spans="1:40">
      <c r="A154" s="9">
        <f t="shared" si="5"/>
        <v>112</v>
      </c>
      <c r="B154" s="3"/>
      <c r="C154" s="3" t="s">
        <v>78</v>
      </c>
      <c r="D154" s="75"/>
      <c r="E154" s="1" t="str">
        <f>"Column (3) line "&amp;A26&amp;""</f>
        <v>Column (3) line 12</v>
      </c>
      <c r="F154" s="1"/>
      <c r="G154" s="1"/>
      <c r="H154" s="193"/>
      <c r="I154" s="1"/>
      <c r="J154" s="1">
        <f>+E26</f>
        <v>47063241.724253803</v>
      </c>
      <c r="K154" s="3"/>
      <c r="L154" s="218"/>
      <c r="M154" s="218"/>
      <c r="N154" s="218"/>
      <c r="O154" s="218"/>
      <c r="P154" s="218"/>
      <c r="Q154" s="218"/>
      <c r="R154" s="218"/>
      <c r="S154" s="218"/>
      <c r="T154" s="218"/>
      <c r="U154" s="218"/>
      <c r="V154" s="218"/>
      <c r="W154" s="218"/>
      <c r="X154" s="218"/>
      <c r="Y154" s="218"/>
      <c r="Z154" s="218"/>
      <c r="AA154" s="218"/>
      <c r="AB154" s="218"/>
      <c r="AC154" s="218"/>
      <c r="AD154" s="218"/>
      <c r="AE154" s="218"/>
      <c r="AF154" s="218"/>
      <c r="AG154" s="218"/>
      <c r="AH154" s="218"/>
      <c r="AI154" s="218"/>
      <c r="AJ154" s="218"/>
      <c r="AK154" s="218"/>
      <c r="AL154" s="218"/>
      <c r="AM154" s="218"/>
      <c r="AN154" s="218"/>
    </row>
    <row r="155" spans="1:40">
      <c r="A155" s="9">
        <f t="shared" si="5"/>
        <v>113</v>
      </c>
      <c r="B155" s="3"/>
      <c r="C155" s="2" t="s">
        <v>405</v>
      </c>
      <c r="D155" s="75"/>
      <c r="E155" s="1" t="s">
        <v>170</v>
      </c>
      <c r="F155" s="1"/>
      <c r="G155" s="1"/>
      <c r="H155" s="193"/>
      <c r="I155" s="1"/>
      <c r="J155" s="255">
        <v>8980449.4378651381</v>
      </c>
      <c r="K155" s="3"/>
      <c r="L155" s="218"/>
      <c r="M155" s="218"/>
      <c r="N155" s="218"/>
      <c r="O155" s="218"/>
      <c r="P155" s="218"/>
      <c r="Q155" s="218"/>
      <c r="R155" s="218"/>
      <c r="S155" s="218"/>
      <c r="T155" s="218"/>
      <c r="U155" s="218"/>
      <c r="V155" s="218"/>
      <c r="W155" s="218"/>
      <c r="X155" s="218"/>
      <c r="Y155" s="218"/>
      <c r="Z155" s="218"/>
      <c r="AA155" s="218"/>
      <c r="AB155" s="218"/>
      <c r="AC155" s="218"/>
      <c r="AD155" s="218"/>
      <c r="AE155" s="218"/>
      <c r="AF155" s="218"/>
      <c r="AG155" s="218"/>
      <c r="AH155" s="218"/>
      <c r="AI155" s="218"/>
      <c r="AJ155" s="218"/>
      <c r="AK155" s="218"/>
      <c r="AL155" s="218"/>
      <c r="AM155" s="218"/>
      <c r="AN155" s="218"/>
    </row>
    <row r="156" spans="1:40">
      <c r="A156" s="9">
        <f t="shared" si="5"/>
        <v>114</v>
      </c>
      <c r="B156" s="3"/>
      <c r="C156" s="256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57"/>
      <c r="E156" s="252"/>
      <c r="F156" s="1"/>
      <c r="G156" s="1"/>
      <c r="H156" s="193"/>
      <c r="I156" s="1"/>
      <c r="J156" s="252">
        <f>J154-J155</f>
        <v>38082792.286388665</v>
      </c>
      <c r="K156" s="3"/>
      <c r="L156" s="218"/>
      <c r="M156" s="218"/>
      <c r="N156" s="218"/>
      <c r="O156" s="218"/>
      <c r="P156" s="218"/>
      <c r="Q156" s="218"/>
      <c r="R156" s="218"/>
      <c r="S156" s="218"/>
      <c r="T156" s="218"/>
      <c r="U156" s="218"/>
      <c r="V156" s="218"/>
      <c r="W156" s="218"/>
      <c r="X156" s="218"/>
      <c r="Y156" s="218"/>
      <c r="Z156" s="218"/>
      <c r="AA156" s="218"/>
      <c r="AB156" s="218"/>
      <c r="AC156" s="218"/>
      <c r="AD156" s="218"/>
      <c r="AE156" s="218"/>
      <c r="AF156" s="218"/>
      <c r="AG156" s="218"/>
      <c r="AH156" s="218"/>
      <c r="AI156" s="218"/>
      <c r="AJ156" s="218"/>
      <c r="AK156" s="218"/>
      <c r="AL156" s="218"/>
      <c r="AM156" s="218"/>
      <c r="AN156" s="218"/>
    </row>
    <row r="157" spans="1:40">
      <c r="A157" s="9">
        <f t="shared" si="5"/>
        <v>115</v>
      </c>
      <c r="B157" s="3"/>
      <c r="C157" s="2" t="str">
        <f>"Plus Common Use AC Facilities Accumulated Depreciation (line "&amp;A166&amp;")"</f>
        <v>Plus Common Use AC Facilities Accumulated Depreciation (line 124)</v>
      </c>
      <c r="D157" s="258"/>
      <c r="E157" s="232"/>
      <c r="F157" s="1"/>
      <c r="G157" s="1"/>
      <c r="H157" s="193"/>
      <c r="I157" s="1"/>
      <c r="J157" s="232">
        <f>+J166</f>
        <v>3662675.74</v>
      </c>
      <c r="K157" s="3"/>
      <c r="L157" s="218"/>
      <c r="M157" s="218"/>
      <c r="N157" s="218"/>
      <c r="O157" s="218"/>
      <c r="P157" s="218"/>
      <c r="Q157" s="218"/>
      <c r="R157" s="218"/>
      <c r="S157" s="218"/>
      <c r="T157" s="218"/>
      <c r="U157" s="218"/>
      <c r="V157" s="218"/>
      <c r="W157" s="218"/>
      <c r="X157" s="218"/>
      <c r="Y157" s="218"/>
      <c r="Z157" s="218"/>
      <c r="AA157" s="218"/>
      <c r="AB157" s="218"/>
      <c r="AC157" s="218"/>
      <c r="AD157" s="218"/>
      <c r="AE157" s="218"/>
      <c r="AF157" s="218"/>
      <c r="AG157" s="218"/>
      <c r="AH157" s="218"/>
      <c r="AI157" s="218"/>
      <c r="AJ157" s="218"/>
      <c r="AK157" s="218"/>
      <c r="AL157" s="218"/>
      <c r="AM157" s="218"/>
      <c r="AN157" s="218"/>
    </row>
    <row r="158" spans="1:40">
      <c r="A158" s="9">
        <f t="shared" si="5"/>
        <v>116</v>
      </c>
      <c r="B158" s="3"/>
      <c r="C158" s="2" t="str">
        <f>"Total Accumulated Depreciation for the CUS System (line "&amp;A156&amp;" plus line "&amp;A157&amp;")"</f>
        <v>Total Accumulated Depreciation for the CUS System (line 114 plus line 115)</v>
      </c>
      <c r="D158" s="258"/>
      <c r="E158" s="232"/>
      <c r="F158" s="1"/>
      <c r="G158" s="1"/>
      <c r="H158" s="193"/>
      <c r="I158" s="1"/>
      <c r="J158" s="252">
        <f>SUM(J156:J157)</f>
        <v>41745468.026388668</v>
      </c>
      <c r="K158" s="3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18"/>
      <c r="Y158" s="218"/>
      <c r="Z158" s="218"/>
      <c r="AA158" s="218"/>
      <c r="AB158" s="218"/>
      <c r="AC158" s="218"/>
      <c r="AD158" s="218"/>
      <c r="AE158" s="218"/>
      <c r="AF158" s="218"/>
      <c r="AG158" s="218"/>
      <c r="AH158" s="218"/>
      <c r="AI158" s="218"/>
      <c r="AJ158" s="218"/>
      <c r="AK158" s="218"/>
      <c r="AL158" s="218"/>
      <c r="AM158" s="218"/>
      <c r="AN158" s="218"/>
    </row>
    <row r="159" spans="1:40">
      <c r="A159" s="9">
        <f t="shared" si="5"/>
        <v>117</v>
      </c>
      <c r="B159" s="3"/>
      <c r="C159" s="2" t="str">
        <f>"Total CUS Accumulated Depreciation (line "&amp;A154&amp;" plus line "&amp;A157&amp;")"</f>
        <v>Total CUS Accumulated Depreciation (line 112 plus line 115)</v>
      </c>
      <c r="D159" s="258"/>
      <c r="E159" s="232"/>
      <c r="F159" s="1"/>
      <c r="G159" s="1"/>
      <c r="H159" s="193"/>
      <c r="I159" s="1"/>
      <c r="J159" s="232">
        <f>+J154+J157</f>
        <v>50725917.464253806</v>
      </c>
      <c r="K159" s="3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18"/>
      <c r="Y159" s="218"/>
      <c r="Z159" s="218"/>
      <c r="AA159" s="218"/>
      <c r="AB159" s="218"/>
      <c r="AC159" s="218"/>
      <c r="AD159" s="218"/>
      <c r="AE159" s="218"/>
      <c r="AF159" s="218"/>
      <c r="AG159" s="218"/>
      <c r="AH159" s="218"/>
      <c r="AI159" s="218"/>
      <c r="AJ159" s="218"/>
      <c r="AK159" s="218"/>
      <c r="AL159" s="218"/>
      <c r="AM159" s="218"/>
      <c r="AN159" s="218"/>
    </row>
    <row r="160" spans="1:40">
      <c r="A160" s="9">
        <f t="shared" si="5"/>
        <v>118</v>
      </c>
      <c r="B160" s="3"/>
      <c r="C160" s="3"/>
      <c r="D160" s="75"/>
      <c r="E160" s="1"/>
      <c r="F160" s="1"/>
      <c r="G160" s="1"/>
      <c r="H160" s="193"/>
      <c r="I160" s="1"/>
      <c r="J160" s="1"/>
      <c r="K160" s="3"/>
      <c r="L160" s="218"/>
      <c r="M160" s="218"/>
      <c r="N160" s="218"/>
      <c r="O160" s="218"/>
      <c r="P160" s="218"/>
      <c r="Q160" s="218"/>
      <c r="R160" s="218"/>
      <c r="S160" s="218"/>
      <c r="T160" s="218"/>
      <c r="U160" s="218"/>
      <c r="V160" s="218"/>
      <c r="W160" s="218"/>
      <c r="X160" s="218"/>
      <c r="Y160" s="218"/>
      <c r="Z160" s="218"/>
      <c r="AA160" s="218"/>
      <c r="AB160" s="218"/>
      <c r="AC160" s="218"/>
      <c r="AD160" s="218"/>
      <c r="AE160" s="218"/>
      <c r="AF160" s="218"/>
      <c r="AG160" s="218"/>
      <c r="AH160" s="218"/>
      <c r="AI160" s="218"/>
      <c r="AJ160" s="218"/>
      <c r="AK160" s="218"/>
      <c r="AL160" s="218"/>
      <c r="AM160" s="218"/>
      <c r="AN160" s="218"/>
    </row>
    <row r="161" spans="1:40">
      <c r="A161" s="9">
        <f t="shared" si="5"/>
        <v>119</v>
      </c>
      <c r="B161" s="3"/>
      <c r="C161" s="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75"/>
      <c r="E161" s="1"/>
      <c r="F161" s="1"/>
      <c r="G161" s="1"/>
      <c r="H161" s="193"/>
      <c r="I161" s="1" t="s">
        <v>79</v>
      </c>
      <c r="J161" s="254">
        <f>ROUND(IF(J159&gt;0,J158/J159,0),6)</f>
        <v>0.82296100000000005</v>
      </c>
      <c r="K161" s="3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  <c r="X161" s="218"/>
      <c r="Y161" s="218"/>
      <c r="Z161" s="218"/>
      <c r="AA161" s="218"/>
      <c r="AB161" s="218"/>
      <c r="AC161" s="218"/>
      <c r="AD161" s="218"/>
      <c r="AE161" s="218"/>
      <c r="AF161" s="218"/>
      <c r="AG161" s="218"/>
      <c r="AH161" s="218"/>
      <c r="AI161" s="218"/>
      <c r="AJ161" s="218"/>
      <c r="AK161" s="218"/>
      <c r="AL161" s="218"/>
      <c r="AM161" s="218"/>
      <c r="AN161" s="218"/>
    </row>
    <row r="162" spans="1:40">
      <c r="A162" s="9">
        <f t="shared" si="5"/>
        <v>120</v>
      </c>
      <c r="B162" s="3"/>
      <c r="C162" s="3"/>
      <c r="D162" s="75"/>
      <c r="E162" s="1"/>
      <c r="F162" s="1"/>
      <c r="G162" s="1"/>
      <c r="H162" s="193"/>
      <c r="I162" s="1"/>
      <c r="J162" s="1"/>
      <c r="K162" s="3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  <c r="X162" s="218"/>
      <c r="Y162" s="218"/>
      <c r="Z162" s="218"/>
      <c r="AA162" s="218"/>
      <c r="AB162" s="218"/>
      <c r="AC162" s="218"/>
      <c r="AD162" s="218"/>
      <c r="AE162" s="218"/>
      <c r="AF162" s="218"/>
      <c r="AG162" s="218"/>
      <c r="AH162" s="218"/>
      <c r="AI162" s="218"/>
      <c r="AJ162" s="218"/>
      <c r="AK162" s="218"/>
      <c r="AL162" s="218"/>
      <c r="AM162" s="218"/>
      <c r="AN162" s="218"/>
    </row>
    <row r="163" spans="1:40" ht="15.75" thickBot="1">
      <c r="A163" s="9">
        <f t="shared" si="5"/>
        <v>121</v>
      </c>
      <c r="B163" s="3"/>
      <c r="C163" s="3"/>
      <c r="D163" s="75"/>
      <c r="E163" s="4" t="s">
        <v>0</v>
      </c>
      <c r="F163" s="1"/>
      <c r="G163" s="1"/>
      <c r="H163" s="193"/>
      <c r="I163" s="1"/>
      <c r="J163" s="1"/>
      <c r="K163" s="3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8"/>
      <c r="W163" s="218"/>
      <c r="X163" s="218"/>
      <c r="Y163" s="218"/>
      <c r="Z163" s="218"/>
      <c r="AA163" s="218"/>
      <c r="AB163" s="218"/>
      <c r="AC163" s="218"/>
      <c r="AD163" s="218"/>
      <c r="AE163" s="218"/>
      <c r="AF163" s="218"/>
      <c r="AG163" s="218"/>
      <c r="AH163" s="218"/>
      <c r="AI163" s="218"/>
      <c r="AJ163" s="218"/>
      <c r="AK163" s="218"/>
      <c r="AL163" s="218"/>
      <c r="AM163" s="218"/>
      <c r="AN163" s="218"/>
    </row>
    <row r="164" spans="1:40">
      <c r="A164" s="9">
        <f t="shared" si="5"/>
        <v>122</v>
      </c>
      <c r="B164" s="3"/>
      <c r="C164" s="3" t="s">
        <v>81</v>
      </c>
      <c r="D164" s="75"/>
      <c r="E164" s="1" t="str">
        <f>"Column (3) line "&amp;A27&amp;""</f>
        <v>Column (3) line 13</v>
      </c>
      <c r="F164" s="1"/>
      <c r="G164" s="1"/>
      <c r="H164" s="193"/>
      <c r="I164" s="1"/>
      <c r="J164" s="1">
        <f>+E27</f>
        <v>137955160.32514957</v>
      </c>
      <c r="K164" s="3"/>
      <c r="L164" s="218"/>
      <c r="M164" s="218"/>
      <c r="N164" s="218"/>
      <c r="O164" s="218"/>
      <c r="P164" s="218"/>
      <c r="Q164" s="218"/>
      <c r="R164" s="218"/>
      <c r="S164" s="218"/>
      <c r="T164" s="218"/>
      <c r="U164" s="218"/>
      <c r="V164" s="218"/>
      <c r="W164" s="218"/>
      <c r="X164" s="218"/>
      <c r="Y164" s="218"/>
      <c r="Z164" s="218"/>
      <c r="AA164" s="218"/>
      <c r="AB164" s="218"/>
      <c r="AC164" s="218"/>
      <c r="AD164" s="218"/>
      <c r="AE164" s="218"/>
      <c r="AF164" s="218"/>
      <c r="AG164" s="218"/>
      <c r="AH164" s="218"/>
      <c r="AI164" s="218"/>
      <c r="AJ164" s="218"/>
      <c r="AK164" s="218"/>
      <c r="AL164" s="218"/>
      <c r="AM164" s="218"/>
      <c r="AN164" s="218"/>
    </row>
    <row r="165" spans="1:40">
      <c r="A165" s="9">
        <f t="shared" si="5"/>
        <v>123</v>
      </c>
      <c r="B165" s="3"/>
      <c r="C165" s="3" t="s">
        <v>171</v>
      </c>
      <c r="D165" s="75"/>
      <c r="E165" s="1"/>
      <c r="F165" s="1"/>
      <c r="G165" s="1"/>
      <c r="H165" s="193"/>
      <c r="I165" s="1"/>
      <c r="J165" s="1">
        <f>+J164-J166</f>
        <v>134292484.58514956</v>
      </c>
      <c r="K165" s="3"/>
      <c r="L165" s="218"/>
      <c r="M165" s="218"/>
      <c r="N165" s="218"/>
      <c r="O165" s="218"/>
      <c r="P165" s="218"/>
      <c r="Q165" s="218"/>
      <c r="R165" s="218"/>
      <c r="S165" s="218"/>
      <c r="T165" s="218"/>
      <c r="U165" s="218"/>
      <c r="V165" s="218"/>
      <c r="W165" s="218"/>
      <c r="X165" s="218"/>
      <c r="Y165" s="218"/>
      <c r="Z165" s="218"/>
      <c r="AA165" s="218"/>
      <c r="AB165" s="218"/>
      <c r="AC165" s="218"/>
      <c r="AD165" s="218"/>
      <c r="AE165" s="218"/>
      <c r="AF165" s="218"/>
      <c r="AG165" s="218"/>
      <c r="AH165" s="218"/>
      <c r="AI165" s="218"/>
      <c r="AJ165" s="218"/>
      <c r="AK165" s="218"/>
      <c r="AL165" s="218"/>
      <c r="AM165" s="218"/>
      <c r="AN165" s="218"/>
    </row>
    <row r="166" spans="1:40">
      <c r="A166" s="9">
        <f t="shared" si="5"/>
        <v>124</v>
      </c>
      <c r="B166" s="3"/>
      <c r="C166" s="259" t="str">
        <f>"Common Use AC Facilities (line "&amp;A164&amp;" less line "&amp;A165&amp;")"</f>
        <v>Common Use AC Facilities (line 122 less line 123)</v>
      </c>
      <c r="D166" s="257"/>
      <c r="E166" s="252"/>
      <c r="F166" s="1"/>
      <c r="G166" s="1"/>
      <c r="H166" s="193"/>
      <c r="I166" s="1"/>
      <c r="J166" s="252">
        <v>3662675.74</v>
      </c>
      <c r="K166" s="3"/>
      <c r="L166" s="218"/>
      <c r="M166" s="218"/>
      <c r="N166" s="218"/>
      <c r="O166" s="218"/>
      <c r="P166" s="218"/>
      <c r="Q166" s="218"/>
      <c r="R166" s="218"/>
      <c r="S166" s="218"/>
      <c r="T166" s="218"/>
      <c r="U166" s="218"/>
      <c r="V166" s="218"/>
      <c r="W166" s="218"/>
      <c r="X166" s="218"/>
      <c r="Y166" s="218"/>
      <c r="Z166" s="218"/>
      <c r="AA166" s="218"/>
      <c r="AB166" s="218"/>
      <c r="AC166" s="218"/>
      <c r="AD166" s="218"/>
      <c r="AE166" s="218"/>
      <c r="AF166" s="218"/>
      <c r="AG166" s="218"/>
      <c r="AH166" s="218"/>
      <c r="AI166" s="218"/>
      <c r="AJ166" s="218"/>
      <c r="AK166" s="218"/>
      <c r="AL166" s="218"/>
      <c r="AM166" s="218"/>
      <c r="AN166" s="218"/>
    </row>
    <row r="167" spans="1:40">
      <c r="A167" s="9">
        <f t="shared" si="5"/>
        <v>125</v>
      </c>
      <c r="B167" s="3"/>
      <c r="C167" s="3"/>
      <c r="D167" s="75"/>
      <c r="E167" s="1"/>
      <c r="F167" s="1"/>
      <c r="G167" s="1"/>
      <c r="H167" s="193"/>
      <c r="I167" s="1"/>
      <c r="J167" s="1"/>
      <c r="K167" s="3"/>
      <c r="L167" s="218"/>
      <c r="M167" s="218"/>
      <c r="N167" s="218"/>
      <c r="O167" s="218"/>
      <c r="P167" s="218"/>
      <c r="Q167" s="218"/>
      <c r="R167" s="218"/>
      <c r="S167" s="218"/>
      <c r="T167" s="218"/>
      <c r="U167" s="218"/>
      <c r="V167" s="218"/>
      <c r="W167" s="218"/>
      <c r="X167" s="218"/>
      <c r="Y167" s="218"/>
      <c r="Z167" s="218"/>
      <c r="AA167" s="218"/>
      <c r="AB167" s="218"/>
      <c r="AC167" s="218"/>
      <c r="AD167" s="218"/>
      <c r="AE167" s="218"/>
      <c r="AF167" s="218"/>
      <c r="AG167" s="218"/>
      <c r="AH167" s="218"/>
      <c r="AI167" s="218"/>
      <c r="AJ167" s="218"/>
      <c r="AK167" s="218"/>
      <c r="AL167" s="218"/>
      <c r="AM167" s="218"/>
      <c r="AN167" s="218"/>
    </row>
    <row r="168" spans="1:40">
      <c r="A168" s="9">
        <f t="shared" si="5"/>
        <v>126</v>
      </c>
      <c r="B168" s="3"/>
      <c r="C168" s="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75"/>
      <c r="E168" s="1"/>
      <c r="F168" s="1"/>
      <c r="G168" s="1"/>
      <c r="H168" s="193"/>
      <c r="I168" s="1" t="s">
        <v>82</v>
      </c>
      <c r="J168" s="254">
        <f>ROUND(IF(J164&gt;0,J166/J164,0),6)</f>
        <v>2.6550000000000001E-2</v>
      </c>
      <c r="K168" s="3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218"/>
      <c r="W168" s="218"/>
      <c r="X168" s="218"/>
      <c r="Y168" s="218"/>
      <c r="Z168" s="218"/>
      <c r="AA168" s="218"/>
      <c r="AB168" s="218"/>
      <c r="AC168" s="218"/>
      <c r="AD168" s="218"/>
      <c r="AE168" s="218"/>
      <c r="AF168" s="218"/>
      <c r="AG168" s="218"/>
      <c r="AH168" s="218"/>
      <c r="AI168" s="218"/>
      <c r="AJ168" s="218"/>
      <c r="AK168" s="218"/>
      <c r="AL168" s="218"/>
      <c r="AM168" s="218"/>
      <c r="AN168" s="218"/>
    </row>
    <row r="169" spans="1:40">
      <c r="A169" s="9">
        <f t="shared" si="5"/>
        <v>127</v>
      </c>
      <c r="B169" s="3"/>
      <c r="C169" s="3"/>
      <c r="D169" s="75"/>
      <c r="E169" s="1"/>
      <c r="F169" s="1"/>
      <c r="G169" s="1"/>
      <c r="H169" s="193"/>
      <c r="I169" s="1"/>
      <c r="J169" s="1"/>
      <c r="K169" s="3"/>
      <c r="L169" s="218"/>
      <c r="M169" s="218"/>
      <c r="N169" s="218"/>
      <c r="O169" s="218"/>
      <c r="P169" s="218"/>
      <c r="Q169" s="218"/>
      <c r="R169" s="218"/>
      <c r="S169" s="218"/>
      <c r="T169" s="218"/>
      <c r="U169" s="218"/>
      <c r="V169" s="218"/>
      <c r="W169" s="218"/>
      <c r="X169" s="218"/>
      <c r="Y169" s="218"/>
      <c r="Z169" s="218"/>
      <c r="AA169" s="218"/>
      <c r="AB169" s="218"/>
      <c r="AC169" s="218"/>
      <c r="AD169" s="218"/>
      <c r="AE169" s="218"/>
      <c r="AF169" s="218"/>
      <c r="AG169" s="218"/>
      <c r="AH169" s="218"/>
      <c r="AI169" s="218"/>
      <c r="AJ169" s="218"/>
      <c r="AK169" s="218"/>
      <c r="AL169" s="218"/>
      <c r="AM169" s="218"/>
      <c r="AN169" s="218"/>
    </row>
    <row r="170" spans="1:40">
      <c r="A170" s="9">
        <f t="shared" si="5"/>
        <v>128</v>
      </c>
      <c r="B170" s="3"/>
      <c r="C170" s="97" t="s">
        <v>245</v>
      </c>
      <c r="D170" s="1"/>
      <c r="E170" s="1"/>
      <c r="F170" s="1"/>
      <c r="G170" s="1"/>
      <c r="H170" s="1"/>
      <c r="I170" s="1"/>
      <c r="J170" s="1"/>
      <c r="K170" s="1"/>
      <c r="L170" s="218"/>
      <c r="M170" s="218"/>
      <c r="N170" s="218"/>
      <c r="O170" s="218"/>
      <c r="P170" s="218"/>
      <c r="Q170" s="218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  <c r="AB170" s="218"/>
      <c r="AC170" s="218"/>
      <c r="AD170" s="218"/>
      <c r="AE170" s="218"/>
      <c r="AF170" s="218"/>
      <c r="AG170" s="218"/>
      <c r="AH170" s="218"/>
      <c r="AI170" s="218"/>
      <c r="AJ170" s="218"/>
      <c r="AK170" s="218"/>
      <c r="AL170" s="218"/>
      <c r="AM170" s="218"/>
      <c r="AN170" s="218"/>
    </row>
    <row r="171" spans="1:40" ht="15.75" thickBot="1">
      <c r="A171" s="9">
        <f t="shared" si="5"/>
        <v>129</v>
      </c>
      <c r="B171" s="3"/>
      <c r="C171" s="97"/>
      <c r="D171" s="4" t="s">
        <v>246</v>
      </c>
      <c r="E171" s="260" t="s">
        <v>247</v>
      </c>
      <c r="F171" s="260" t="s">
        <v>200</v>
      </c>
      <c r="G171" s="1"/>
      <c r="H171" s="260" t="s">
        <v>248</v>
      </c>
      <c r="I171" s="232"/>
      <c r="J171" s="261"/>
      <c r="K171" s="1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  <c r="AB171" s="218"/>
      <c r="AC171" s="218"/>
      <c r="AD171" s="218"/>
      <c r="AE171" s="218"/>
      <c r="AF171" s="218"/>
      <c r="AG171" s="218"/>
      <c r="AH171" s="218"/>
      <c r="AI171" s="218"/>
      <c r="AJ171" s="218"/>
      <c r="AK171" s="218"/>
      <c r="AL171" s="218"/>
      <c r="AM171" s="218"/>
      <c r="AN171" s="218"/>
    </row>
    <row r="172" spans="1:40">
      <c r="A172" s="9">
        <f t="shared" si="5"/>
        <v>130</v>
      </c>
      <c r="B172" s="3"/>
      <c r="C172" s="97" t="s">
        <v>215</v>
      </c>
      <c r="D172" s="1" t="s">
        <v>127</v>
      </c>
      <c r="E172" s="1">
        <v>1892751</v>
      </c>
      <c r="F172" s="262">
        <f>+J143</f>
        <v>0.87458400000000003</v>
      </c>
      <c r="G172" s="3"/>
      <c r="H172" s="1">
        <f>E172*F172</f>
        <v>1655369.740584</v>
      </c>
      <c r="I172" s="232"/>
      <c r="J172" s="263"/>
      <c r="K172" s="1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  <c r="AA172" s="218"/>
      <c r="AB172" s="218"/>
      <c r="AC172" s="218"/>
      <c r="AD172" s="218"/>
      <c r="AE172" s="218"/>
      <c r="AF172" s="218"/>
      <c r="AG172" s="218"/>
      <c r="AH172" s="218"/>
      <c r="AI172" s="218"/>
      <c r="AJ172" s="218"/>
      <c r="AK172" s="218"/>
      <c r="AL172" s="218"/>
      <c r="AM172" s="218"/>
      <c r="AN172" s="218"/>
    </row>
    <row r="173" spans="1:40">
      <c r="A173" s="9">
        <f t="shared" si="5"/>
        <v>131</v>
      </c>
      <c r="B173" s="3"/>
      <c r="C173" s="97" t="s">
        <v>141</v>
      </c>
      <c r="D173" s="1" t="s">
        <v>142</v>
      </c>
      <c r="E173" s="1">
        <v>21478577</v>
      </c>
      <c r="F173" s="262">
        <v>0</v>
      </c>
      <c r="G173" s="262"/>
      <c r="H173" s="1">
        <f>E173*F173</f>
        <v>0</v>
      </c>
      <c r="I173" s="232"/>
      <c r="J173" s="261" t="s">
        <v>249</v>
      </c>
      <c r="K173" s="1"/>
      <c r="L173" s="218"/>
      <c r="M173" s="218"/>
      <c r="N173" s="218"/>
      <c r="O173" s="218"/>
      <c r="P173" s="218"/>
      <c r="Q173" s="218"/>
      <c r="R173" s="218"/>
      <c r="S173" s="218"/>
      <c r="T173" s="218"/>
      <c r="U173" s="218"/>
      <c r="V173" s="218"/>
      <c r="W173" s="218"/>
      <c r="X173" s="218"/>
      <c r="Y173" s="218"/>
      <c r="Z173" s="218"/>
      <c r="AA173" s="218"/>
      <c r="AB173" s="218"/>
      <c r="AC173" s="218"/>
      <c r="AD173" s="218"/>
      <c r="AE173" s="218"/>
      <c r="AF173" s="218"/>
      <c r="AG173" s="218"/>
      <c r="AH173" s="218"/>
      <c r="AI173" s="218"/>
      <c r="AJ173" s="218"/>
      <c r="AK173" s="218"/>
      <c r="AL173" s="218"/>
      <c r="AM173" s="218"/>
      <c r="AN173" s="218"/>
    </row>
    <row r="174" spans="1:40" ht="15.75" thickBot="1">
      <c r="A174" s="9">
        <f t="shared" si="5"/>
        <v>132</v>
      </c>
      <c r="B174" s="3"/>
      <c r="C174" s="97" t="s">
        <v>143</v>
      </c>
      <c r="D174" s="1" t="s">
        <v>144</v>
      </c>
      <c r="E174" s="4">
        <v>-8654137</v>
      </c>
      <c r="F174" s="262">
        <v>0</v>
      </c>
      <c r="G174" s="262"/>
      <c r="H174" s="4">
        <f>E174*F174</f>
        <v>0</v>
      </c>
      <c r="I174" s="232"/>
      <c r="J174" s="191" t="s">
        <v>250</v>
      </c>
      <c r="K174" s="1"/>
      <c r="L174" s="218"/>
      <c r="M174" s="218"/>
      <c r="N174" s="218"/>
      <c r="O174" s="218"/>
      <c r="P174" s="218"/>
      <c r="Q174" s="218"/>
      <c r="R174" s="218"/>
      <c r="S174" s="218"/>
      <c r="T174" s="218"/>
      <c r="U174" s="218"/>
      <c r="V174" s="218"/>
      <c r="W174" s="218"/>
      <c r="X174" s="218"/>
      <c r="Y174" s="218"/>
      <c r="Z174" s="218"/>
      <c r="AA174" s="218"/>
      <c r="AB174" s="218"/>
      <c r="AC174" s="218"/>
      <c r="AD174" s="218"/>
      <c r="AE174" s="218"/>
      <c r="AF174" s="218"/>
      <c r="AG174" s="218"/>
      <c r="AH174" s="218"/>
      <c r="AI174" s="218"/>
      <c r="AJ174" s="218"/>
      <c r="AK174" s="218"/>
      <c r="AL174" s="218"/>
      <c r="AM174" s="218"/>
      <c r="AN174" s="218"/>
    </row>
    <row r="175" spans="1:40">
      <c r="A175" s="9">
        <f t="shared" si="5"/>
        <v>133</v>
      </c>
      <c r="B175" s="3"/>
      <c r="C175" s="97" t="str">
        <f>"  Adjusted Total  (sum lines "&amp;A173&amp;"-"&amp;A174&amp;")"</f>
        <v xml:space="preserve">  Adjusted Total  (sum lines 131-132)</v>
      </c>
      <c r="D175" s="1"/>
      <c r="E175" s="1">
        <f>SUM(E173:E174)</f>
        <v>12824440</v>
      </c>
      <c r="F175" s="1"/>
      <c r="G175" s="3"/>
      <c r="H175" s="1">
        <f>SUM(H172:H174)</f>
        <v>1655369.740584</v>
      </c>
      <c r="I175" s="1" t="s">
        <v>92</v>
      </c>
      <c r="J175" s="224">
        <f>IF(E175&gt;0,+H175/E175,0)</f>
        <v>0.12907930019431649</v>
      </c>
      <c r="K175" s="193"/>
      <c r="L175" s="218"/>
      <c r="M175" s="218"/>
      <c r="N175" s="218"/>
      <c r="O175" s="218"/>
      <c r="P175" s="218"/>
      <c r="Q175" s="218"/>
      <c r="R175" s="218"/>
      <c r="S175" s="218"/>
      <c r="T175" s="218"/>
      <c r="U175" s="218"/>
      <c r="V175" s="218"/>
      <c r="W175" s="218"/>
      <c r="X175" s="218"/>
      <c r="Y175" s="218"/>
      <c r="Z175" s="218"/>
      <c r="AA175" s="218"/>
      <c r="AB175" s="218"/>
      <c r="AC175" s="218"/>
      <c r="AD175" s="218"/>
      <c r="AE175" s="218"/>
      <c r="AF175" s="218"/>
      <c r="AG175" s="218"/>
      <c r="AH175" s="218"/>
      <c r="AI175" s="218"/>
      <c r="AJ175" s="218"/>
      <c r="AK175" s="218"/>
      <c r="AL175" s="218"/>
      <c r="AM175" s="218"/>
      <c r="AN175" s="218"/>
    </row>
    <row r="176" spans="1:40">
      <c r="A176" s="9">
        <f t="shared" si="5"/>
        <v>134</v>
      </c>
      <c r="B176" s="3"/>
      <c r="C176" s="97"/>
      <c r="D176" s="1"/>
      <c r="E176" s="1"/>
      <c r="F176" s="1"/>
      <c r="G176" s="1"/>
      <c r="H176" s="1"/>
      <c r="I176" s="1"/>
      <c r="J176" s="1"/>
      <c r="K176" s="1"/>
      <c r="L176" s="218"/>
      <c r="M176" s="218"/>
      <c r="N176" s="218"/>
      <c r="O176" s="218"/>
      <c r="P176" s="218"/>
      <c r="Q176" s="218"/>
      <c r="R176" s="218"/>
      <c r="S176" s="218"/>
      <c r="T176" s="218"/>
      <c r="U176" s="218"/>
      <c r="V176" s="218"/>
      <c r="W176" s="218"/>
      <c r="X176" s="218"/>
      <c r="Y176" s="218"/>
      <c r="Z176" s="218"/>
      <c r="AA176" s="218"/>
      <c r="AB176" s="218"/>
      <c r="AC176" s="218"/>
      <c r="AD176" s="218"/>
      <c r="AE176" s="218"/>
      <c r="AF176" s="218"/>
      <c r="AG176" s="218"/>
      <c r="AH176" s="218"/>
      <c r="AI176" s="218"/>
      <c r="AJ176" s="218"/>
      <c r="AK176" s="218"/>
      <c r="AL176" s="218"/>
      <c r="AM176" s="218"/>
      <c r="AN176" s="218"/>
    </row>
    <row r="177" spans="1:40">
      <c r="A177" s="9">
        <f t="shared" si="5"/>
        <v>135</v>
      </c>
      <c r="B177" s="3"/>
      <c r="C177" s="97" t="s">
        <v>128</v>
      </c>
      <c r="D177" s="1"/>
      <c r="E177" s="1"/>
      <c r="F177" s="1"/>
      <c r="G177" s="1"/>
      <c r="H177" s="1"/>
      <c r="I177" s="1"/>
      <c r="J177" s="1"/>
      <c r="K177" s="1"/>
      <c r="L177" s="218"/>
      <c r="M177" s="218"/>
      <c r="N177" s="218"/>
      <c r="O177" s="218"/>
      <c r="P177" s="218"/>
      <c r="Q177" s="218"/>
      <c r="R177" s="218"/>
      <c r="S177" s="218"/>
      <c r="T177" s="218"/>
      <c r="U177" s="218"/>
      <c r="V177" s="218"/>
      <c r="W177" s="218"/>
      <c r="X177" s="218"/>
      <c r="Y177" s="218"/>
      <c r="Z177" s="218"/>
      <c r="AA177" s="218"/>
      <c r="AB177" s="218"/>
      <c r="AC177" s="218"/>
      <c r="AD177" s="218"/>
      <c r="AE177" s="218"/>
      <c r="AF177" s="218"/>
      <c r="AG177" s="218"/>
      <c r="AH177" s="218"/>
      <c r="AI177" s="218"/>
      <c r="AJ177" s="218"/>
      <c r="AK177" s="218"/>
      <c r="AL177" s="218"/>
      <c r="AM177" s="218"/>
      <c r="AN177" s="218"/>
    </row>
    <row r="178" spans="1:40" ht="15.75" thickBot="1">
      <c r="A178" s="9">
        <f t="shared" si="5"/>
        <v>136</v>
      </c>
      <c r="B178" s="3"/>
      <c r="C178" s="97"/>
      <c r="D178" s="1"/>
      <c r="E178" s="260" t="s">
        <v>247</v>
      </c>
      <c r="F178" s="260" t="s">
        <v>254</v>
      </c>
      <c r="G178" s="229" t="s">
        <v>200</v>
      </c>
      <c r="H178" s="264" t="s">
        <v>131</v>
      </c>
      <c r="I178" s="241"/>
      <c r="J178" s="226"/>
      <c r="K178" s="3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  <c r="X178" s="218"/>
      <c r="Y178" s="218"/>
      <c r="Z178" s="218"/>
      <c r="AA178" s="218"/>
      <c r="AB178" s="218"/>
      <c r="AC178" s="218"/>
      <c r="AD178" s="218"/>
      <c r="AE178" s="218"/>
      <c r="AF178" s="218"/>
      <c r="AG178" s="218"/>
      <c r="AH178" s="218"/>
      <c r="AI178" s="218"/>
      <c r="AJ178" s="218"/>
      <c r="AK178" s="218"/>
      <c r="AL178" s="218"/>
      <c r="AM178" s="218"/>
      <c r="AN178" s="218"/>
    </row>
    <row r="179" spans="1:40">
      <c r="A179" s="9">
        <f t="shared" si="5"/>
        <v>137</v>
      </c>
      <c r="B179" s="3"/>
      <c r="C179" s="97" t="s">
        <v>129</v>
      </c>
      <c r="D179" s="87" t="s">
        <v>440</v>
      </c>
      <c r="E179" s="1">
        <f>J135-J154</f>
        <v>145710100.02190006</v>
      </c>
      <c r="F179" s="89">
        <f>IF(E181&gt;0,+E179/E181,0)</f>
        <v>0.37217430629360276</v>
      </c>
      <c r="G179" s="265">
        <f>+J143</f>
        <v>0.87458400000000003</v>
      </c>
      <c r="H179" s="266">
        <f>IF(F179&gt;0,+G179*F179,0)</f>
        <v>0.3254976934954843</v>
      </c>
      <c r="I179" s="267"/>
      <c r="J179" s="9"/>
      <c r="K179" s="1"/>
      <c r="L179" s="218"/>
      <c r="M179" s="218"/>
      <c r="N179" s="218"/>
      <c r="O179" s="218"/>
      <c r="P179" s="218"/>
      <c r="Q179" s="218"/>
      <c r="R179" s="218"/>
      <c r="S179" s="218"/>
      <c r="T179" s="218"/>
      <c r="U179" s="218"/>
      <c r="V179" s="218"/>
      <c r="W179" s="218"/>
      <c r="X179" s="218"/>
      <c r="Y179" s="218"/>
      <c r="Z179" s="218"/>
      <c r="AA179" s="218"/>
      <c r="AB179" s="218"/>
      <c r="AC179" s="218"/>
      <c r="AD179" s="218"/>
      <c r="AE179" s="218"/>
      <c r="AF179" s="218"/>
      <c r="AG179" s="218"/>
      <c r="AH179" s="218"/>
      <c r="AI179" s="218"/>
      <c r="AJ179" s="218"/>
      <c r="AK179" s="218"/>
      <c r="AL179" s="218"/>
      <c r="AM179" s="218"/>
      <c r="AN179" s="218"/>
    </row>
    <row r="180" spans="1:40">
      <c r="A180" s="9">
        <f t="shared" si="5"/>
        <v>138</v>
      </c>
      <c r="B180" s="3"/>
      <c r="C180" s="97" t="s">
        <v>130</v>
      </c>
      <c r="D180" s="87" t="s">
        <v>441</v>
      </c>
      <c r="E180" s="1">
        <f>J146-J164</f>
        <v>245800269.06561968</v>
      </c>
      <c r="F180" s="89">
        <f>IF(E181&gt;0,+E180/E181,0)</f>
        <v>0.62782569370639718</v>
      </c>
      <c r="G180" s="3"/>
      <c r="H180" s="239"/>
      <c r="I180" s="193"/>
      <c r="J180" s="239"/>
      <c r="K180" s="241"/>
      <c r="L180" s="218"/>
      <c r="M180" s="218"/>
      <c r="N180" s="218"/>
      <c r="O180" s="218"/>
      <c r="P180" s="218"/>
      <c r="Q180" s="218"/>
      <c r="R180" s="218"/>
      <c r="S180" s="218"/>
      <c r="T180" s="218"/>
      <c r="U180" s="218"/>
      <c r="V180" s="218"/>
      <c r="W180" s="218"/>
      <c r="X180" s="218"/>
      <c r="Y180" s="218"/>
      <c r="Z180" s="218"/>
      <c r="AA180" s="218"/>
      <c r="AB180" s="218"/>
      <c r="AC180" s="218"/>
      <c r="AD180" s="218"/>
      <c r="AE180" s="218"/>
      <c r="AF180" s="218"/>
      <c r="AG180" s="218"/>
      <c r="AH180" s="218"/>
      <c r="AI180" s="218"/>
      <c r="AJ180" s="218"/>
      <c r="AK180" s="218"/>
      <c r="AL180" s="218"/>
      <c r="AM180" s="218"/>
      <c r="AN180" s="218"/>
    </row>
    <row r="181" spans="1:40">
      <c r="A181" s="9">
        <f t="shared" si="5"/>
        <v>139</v>
      </c>
      <c r="B181" s="3"/>
      <c r="C181" s="97" t="str">
        <f>"  Total  (sum lines "&amp;A179&amp;" - "&amp;A180&amp;")"</f>
        <v xml:space="preserve">  Total  (sum lines 137 - 138)</v>
      </c>
      <c r="D181" s="1"/>
      <c r="E181" s="252">
        <f>SUM(E179:E180)</f>
        <v>391510369.08751976</v>
      </c>
      <c r="F181" s="268">
        <f>SUM(F179:F180)</f>
        <v>1</v>
      </c>
      <c r="G181" s="1"/>
      <c r="H181" s="1"/>
      <c r="I181" s="1" t="s">
        <v>132</v>
      </c>
      <c r="J181" s="269">
        <f>+H179</f>
        <v>0.3254976934954843</v>
      </c>
      <c r="K181" s="1"/>
      <c r="L181" s="218"/>
      <c r="M181" s="218"/>
      <c r="N181" s="218"/>
      <c r="O181" s="218"/>
      <c r="P181" s="218"/>
      <c r="Q181" s="218"/>
      <c r="R181" s="218"/>
      <c r="S181" s="218"/>
      <c r="T181" s="218"/>
      <c r="U181" s="218"/>
      <c r="V181" s="218"/>
      <c r="W181" s="218"/>
      <c r="X181" s="218"/>
      <c r="Y181" s="218"/>
      <c r="Z181" s="218"/>
      <c r="AA181" s="218"/>
      <c r="AB181" s="218"/>
      <c r="AC181" s="218"/>
      <c r="AD181" s="218"/>
      <c r="AE181" s="218"/>
      <c r="AF181" s="218"/>
      <c r="AG181" s="218"/>
      <c r="AH181" s="218"/>
      <c r="AI181" s="218"/>
      <c r="AJ181" s="218"/>
      <c r="AK181" s="218"/>
      <c r="AL181" s="218"/>
      <c r="AM181" s="218"/>
      <c r="AN181" s="218"/>
    </row>
    <row r="182" spans="1:40">
      <c r="A182" s="9">
        <f t="shared" si="5"/>
        <v>140</v>
      </c>
      <c r="B182" s="3"/>
      <c r="C182" s="97"/>
      <c r="D182" s="1"/>
      <c r="E182" s="3"/>
      <c r="F182" s="1"/>
      <c r="G182" s="1"/>
      <c r="H182" s="1"/>
      <c r="I182" s="1"/>
      <c r="J182" s="269"/>
      <c r="K182" s="1"/>
      <c r="L182" s="218"/>
      <c r="M182" s="218"/>
      <c r="N182" s="218"/>
      <c r="O182" s="218"/>
      <c r="P182" s="218"/>
      <c r="Q182" s="218"/>
      <c r="R182" s="218"/>
      <c r="S182" s="218"/>
      <c r="T182" s="218"/>
      <c r="U182" s="218"/>
      <c r="V182" s="218"/>
      <c r="W182" s="218"/>
      <c r="X182" s="218"/>
      <c r="Y182" s="218"/>
      <c r="Z182" s="218"/>
      <c r="AA182" s="218"/>
      <c r="AB182" s="218"/>
      <c r="AC182" s="218"/>
      <c r="AD182" s="218"/>
      <c r="AE182" s="218"/>
      <c r="AF182" s="218"/>
      <c r="AG182" s="218"/>
      <c r="AH182" s="218"/>
      <c r="AI182" s="218"/>
      <c r="AJ182" s="218"/>
      <c r="AK182" s="218"/>
      <c r="AL182" s="218"/>
      <c r="AM182" s="218"/>
      <c r="AN182" s="218"/>
    </row>
    <row r="183" spans="1:40" s="272" customFormat="1" ht="15.75" thickBot="1">
      <c r="A183" s="9">
        <f t="shared" si="5"/>
        <v>141</v>
      </c>
      <c r="B183" s="270"/>
      <c r="C183" s="271" t="s">
        <v>252</v>
      </c>
      <c r="D183" s="229" t="s">
        <v>246</v>
      </c>
      <c r="E183" s="1"/>
      <c r="F183" s="1"/>
      <c r="G183" s="1"/>
      <c r="H183" s="1"/>
      <c r="I183" s="1"/>
      <c r="J183" s="260" t="s">
        <v>247</v>
      </c>
      <c r="K183" s="1"/>
    </row>
    <row r="184" spans="1:40">
      <c r="A184" s="9">
        <f t="shared" si="5"/>
        <v>142</v>
      </c>
      <c r="B184" s="270"/>
      <c r="C184" s="75" t="s">
        <v>329</v>
      </c>
      <c r="D184" s="1" t="s">
        <v>442</v>
      </c>
      <c r="E184" s="1"/>
      <c r="F184" s="1"/>
      <c r="G184" s="1"/>
      <c r="H184" s="1"/>
      <c r="I184" s="1"/>
      <c r="J184" s="19">
        <f>20258411+204228+275337+0</f>
        <v>20737976</v>
      </c>
      <c r="K184" s="1"/>
      <c r="L184" s="218"/>
      <c r="M184" s="218"/>
      <c r="N184" s="218"/>
      <c r="O184" s="218"/>
      <c r="P184" s="218"/>
      <c r="Q184" s="218"/>
      <c r="R184" s="218"/>
      <c r="S184" s="218"/>
      <c r="T184" s="218"/>
      <c r="U184" s="218"/>
      <c r="V184" s="218"/>
      <c r="W184" s="218"/>
      <c r="X184" s="218"/>
      <c r="Y184" s="218"/>
      <c r="Z184" s="218"/>
      <c r="AA184" s="218"/>
      <c r="AB184" s="218"/>
      <c r="AC184" s="218"/>
      <c r="AD184" s="218"/>
      <c r="AE184" s="218"/>
      <c r="AF184" s="218"/>
      <c r="AG184" s="218"/>
      <c r="AH184" s="218"/>
      <c r="AI184" s="218"/>
      <c r="AJ184" s="218"/>
      <c r="AK184" s="218"/>
      <c r="AL184" s="218"/>
      <c r="AM184" s="218"/>
      <c r="AN184" s="218"/>
    </row>
    <row r="185" spans="1:40">
      <c r="A185" s="9">
        <f t="shared" si="5"/>
        <v>143</v>
      </c>
      <c r="B185" s="272"/>
      <c r="C185" s="97"/>
      <c r="D185" s="1"/>
      <c r="E185" s="1"/>
      <c r="F185" s="1"/>
      <c r="G185" s="1"/>
      <c r="H185" s="1"/>
      <c r="I185" s="1"/>
      <c r="J185" s="1"/>
      <c r="K185" s="1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  <c r="X185" s="218"/>
      <c r="Y185" s="218"/>
      <c r="Z185" s="218"/>
      <c r="AA185" s="218"/>
      <c r="AB185" s="218"/>
      <c r="AC185" s="218"/>
      <c r="AD185" s="218"/>
      <c r="AE185" s="218"/>
      <c r="AF185" s="218"/>
      <c r="AG185" s="218"/>
      <c r="AH185" s="218"/>
      <c r="AI185" s="218"/>
      <c r="AJ185" s="218"/>
      <c r="AK185" s="218"/>
      <c r="AL185" s="218"/>
      <c r="AM185" s="218"/>
      <c r="AN185" s="218"/>
    </row>
    <row r="186" spans="1:40">
      <c r="A186" s="9">
        <f t="shared" si="5"/>
        <v>144</v>
      </c>
      <c r="B186" s="270"/>
      <c r="C186" s="97" t="s">
        <v>330</v>
      </c>
      <c r="D186" s="1" t="s">
        <v>331</v>
      </c>
      <c r="E186" s="1"/>
      <c r="F186" s="1"/>
      <c r="G186" s="1"/>
      <c r="H186" s="1"/>
      <c r="I186" s="1"/>
      <c r="J186" s="19">
        <v>0</v>
      </c>
      <c r="K186" s="1"/>
      <c r="L186" s="218"/>
      <c r="M186" s="218"/>
      <c r="N186" s="218"/>
      <c r="O186" s="218"/>
      <c r="P186" s="218"/>
      <c r="Q186" s="218"/>
      <c r="R186" s="218"/>
      <c r="S186" s="218"/>
      <c r="T186" s="218"/>
      <c r="U186" s="218"/>
      <c r="V186" s="218"/>
      <c r="W186" s="218"/>
      <c r="X186" s="218"/>
      <c r="Y186" s="218"/>
      <c r="Z186" s="218"/>
      <c r="AA186" s="218"/>
      <c r="AB186" s="218"/>
      <c r="AC186" s="218"/>
      <c r="AD186" s="218"/>
      <c r="AE186" s="218"/>
      <c r="AF186" s="218"/>
      <c r="AG186" s="218"/>
      <c r="AH186" s="218"/>
      <c r="AI186" s="218"/>
      <c r="AJ186" s="218"/>
      <c r="AK186" s="218"/>
      <c r="AL186" s="218"/>
      <c r="AM186" s="218"/>
      <c r="AN186" s="218"/>
    </row>
    <row r="187" spans="1:40">
      <c r="A187" s="9">
        <f t="shared" si="5"/>
        <v>145</v>
      </c>
      <c r="B187" s="270"/>
      <c r="C187" s="97"/>
      <c r="D187" s="1"/>
      <c r="E187" s="1"/>
      <c r="F187" s="1"/>
      <c r="G187" s="1"/>
      <c r="H187" s="1"/>
      <c r="I187" s="1"/>
      <c r="J187" s="1"/>
      <c r="K187" s="1"/>
      <c r="L187" s="218"/>
      <c r="M187" s="218"/>
      <c r="N187" s="218"/>
      <c r="O187" s="218"/>
      <c r="P187" s="218"/>
      <c r="Q187" s="218"/>
      <c r="R187" s="218"/>
      <c r="S187" s="218"/>
      <c r="T187" s="218"/>
      <c r="U187" s="218"/>
      <c r="V187" s="218"/>
      <c r="W187" s="218"/>
      <c r="X187" s="218"/>
      <c r="Y187" s="218"/>
      <c r="Z187" s="218"/>
      <c r="AA187" s="218"/>
      <c r="AB187" s="218"/>
      <c r="AC187" s="218"/>
      <c r="AD187" s="218"/>
      <c r="AE187" s="218"/>
      <c r="AF187" s="218"/>
      <c r="AG187" s="218"/>
      <c r="AH187" s="218"/>
      <c r="AI187" s="218"/>
      <c r="AJ187" s="218"/>
      <c r="AK187" s="218"/>
      <c r="AL187" s="218"/>
      <c r="AM187" s="218"/>
      <c r="AN187" s="218"/>
    </row>
    <row r="188" spans="1:40">
      <c r="A188" s="9">
        <f t="shared" si="5"/>
        <v>146</v>
      </c>
      <c r="B188" s="270"/>
      <c r="C188" s="271" t="s">
        <v>332</v>
      </c>
      <c r="D188" s="229" t="s">
        <v>246</v>
      </c>
      <c r="E188" s="1"/>
      <c r="F188" s="1"/>
      <c r="G188" s="1"/>
      <c r="H188" s="1"/>
      <c r="I188" s="1"/>
      <c r="J188" s="1"/>
      <c r="K188" s="1"/>
      <c r="L188" s="218"/>
      <c r="M188" s="218"/>
      <c r="N188" s="218"/>
      <c r="O188" s="218"/>
      <c r="P188" s="218"/>
      <c r="Q188" s="218"/>
      <c r="R188" s="218"/>
      <c r="S188" s="218"/>
      <c r="T188" s="218"/>
      <c r="U188" s="218"/>
      <c r="V188" s="218"/>
      <c r="W188" s="218"/>
      <c r="X188" s="218"/>
      <c r="Y188" s="218"/>
      <c r="Z188" s="218"/>
      <c r="AA188" s="218"/>
      <c r="AB188" s="218"/>
      <c r="AC188" s="218"/>
      <c r="AD188" s="218"/>
      <c r="AE188" s="218"/>
      <c r="AF188" s="218"/>
      <c r="AG188" s="218"/>
      <c r="AH188" s="218"/>
      <c r="AI188" s="218"/>
      <c r="AJ188" s="218"/>
      <c r="AK188" s="218"/>
      <c r="AL188" s="218"/>
      <c r="AM188" s="218"/>
      <c r="AN188" s="218"/>
    </row>
    <row r="189" spans="1:40">
      <c r="A189" s="9">
        <f t="shared" si="5"/>
        <v>147</v>
      </c>
      <c r="B189" s="270"/>
      <c r="C189" s="97" t="s">
        <v>22</v>
      </c>
      <c r="D189" s="1" t="s">
        <v>333</v>
      </c>
      <c r="E189" s="75"/>
      <c r="F189" s="1"/>
      <c r="G189" s="1"/>
      <c r="H189" s="1"/>
      <c r="I189" s="1"/>
      <c r="J189" s="290">
        <v>404102470</v>
      </c>
      <c r="K189" s="1"/>
      <c r="L189" s="194" t="s">
        <v>461</v>
      </c>
      <c r="M189" s="218"/>
      <c r="N189" s="218"/>
      <c r="O189" s="218"/>
      <c r="P189" s="218"/>
      <c r="Q189" s="218"/>
      <c r="R189" s="218"/>
      <c r="S189" s="218"/>
      <c r="T189" s="218"/>
      <c r="U189" s="218"/>
      <c r="V189" s="218"/>
      <c r="W189" s="218"/>
      <c r="X189" s="218"/>
      <c r="Y189" s="218"/>
      <c r="Z189" s="218"/>
      <c r="AA189" s="218"/>
      <c r="AB189" s="218"/>
      <c r="AC189" s="218"/>
      <c r="AD189" s="218"/>
      <c r="AE189" s="218"/>
      <c r="AF189" s="218"/>
      <c r="AG189" s="218"/>
      <c r="AH189" s="218"/>
      <c r="AI189" s="218"/>
      <c r="AJ189" s="218"/>
      <c r="AK189" s="218"/>
      <c r="AL189" s="218"/>
      <c r="AM189" s="218"/>
      <c r="AN189" s="218"/>
    </row>
    <row r="190" spans="1:40">
      <c r="A190" s="9">
        <f t="shared" si="5"/>
        <v>148</v>
      </c>
      <c r="B190" s="270"/>
      <c r="C190" s="97" t="s">
        <v>334</v>
      </c>
      <c r="D190" s="1" t="s">
        <v>335</v>
      </c>
      <c r="E190" s="1"/>
      <c r="F190" s="1"/>
      <c r="G190" s="1"/>
      <c r="H190" s="1"/>
      <c r="I190" s="1"/>
      <c r="J190" s="19">
        <v>0</v>
      </c>
      <c r="K190" s="1"/>
      <c r="L190" s="218"/>
      <c r="M190" s="218"/>
      <c r="N190" s="218"/>
      <c r="O190" s="218"/>
      <c r="P190" s="218"/>
      <c r="Q190" s="218"/>
      <c r="R190" s="218"/>
      <c r="S190" s="218"/>
      <c r="T190" s="218"/>
      <c r="U190" s="218"/>
      <c r="V190" s="218"/>
      <c r="W190" s="218"/>
      <c r="X190" s="218"/>
      <c r="Y190" s="218"/>
      <c r="Z190" s="218"/>
      <c r="AA190" s="218"/>
      <c r="AB190" s="218"/>
      <c r="AC190" s="218"/>
      <c r="AD190" s="218"/>
      <c r="AE190" s="218"/>
      <c r="AF190" s="218"/>
      <c r="AG190" s="218"/>
      <c r="AH190" s="218"/>
      <c r="AI190" s="218"/>
      <c r="AJ190" s="218"/>
      <c r="AK190" s="218"/>
      <c r="AL190" s="218"/>
      <c r="AM190" s="218"/>
      <c r="AN190" s="218"/>
    </row>
    <row r="191" spans="1:40">
      <c r="A191" s="9">
        <f t="shared" si="5"/>
        <v>149</v>
      </c>
      <c r="B191" s="270"/>
      <c r="C191" s="97" t="s">
        <v>336</v>
      </c>
      <c r="D191" s="1" t="s">
        <v>337</v>
      </c>
      <c r="E191" s="1"/>
      <c r="F191" s="1"/>
      <c r="G191" s="1"/>
      <c r="H191" s="1"/>
      <c r="I191" s="1"/>
      <c r="J191" s="47">
        <v>0</v>
      </c>
      <c r="K191" s="1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218"/>
      <c r="X191" s="218"/>
      <c r="Y191" s="218"/>
      <c r="Z191" s="218"/>
      <c r="AA191" s="218"/>
      <c r="AB191" s="218"/>
      <c r="AC191" s="218"/>
      <c r="AD191" s="218"/>
      <c r="AE191" s="218"/>
      <c r="AF191" s="218"/>
      <c r="AG191" s="218"/>
      <c r="AH191" s="218"/>
      <c r="AI191" s="218"/>
      <c r="AJ191" s="218"/>
      <c r="AK191" s="218"/>
      <c r="AL191" s="218"/>
      <c r="AM191" s="218"/>
      <c r="AN191" s="218"/>
    </row>
    <row r="192" spans="1:40" ht="15.75" thickBot="1">
      <c r="A192" s="9">
        <f t="shared" si="5"/>
        <v>150</v>
      </c>
      <c r="B192" s="270"/>
      <c r="C192" s="97" t="s">
        <v>338</v>
      </c>
      <c r="D192" s="1" t="s">
        <v>339</v>
      </c>
      <c r="E192" s="1"/>
      <c r="F192" s="1"/>
      <c r="G192" s="1"/>
      <c r="H192" s="1"/>
      <c r="I192" s="1"/>
      <c r="J192" s="228">
        <v>891260</v>
      </c>
      <c r="K192" s="1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218"/>
      <c r="X192" s="218"/>
      <c r="Y192" s="218"/>
      <c r="Z192" s="218"/>
      <c r="AA192" s="218"/>
      <c r="AB192" s="218"/>
      <c r="AC192" s="218"/>
      <c r="AD192" s="218"/>
      <c r="AE192" s="218"/>
      <c r="AF192" s="218"/>
      <c r="AG192" s="218"/>
      <c r="AH192" s="218"/>
      <c r="AI192" s="218"/>
      <c r="AJ192" s="218"/>
      <c r="AK192" s="218"/>
      <c r="AL192" s="218"/>
      <c r="AM192" s="218"/>
      <c r="AN192" s="218"/>
    </row>
    <row r="193" spans="1:40">
      <c r="A193" s="9">
        <f t="shared" si="5"/>
        <v>151</v>
      </c>
      <c r="B193" s="270"/>
      <c r="C193" s="273" t="s">
        <v>340</v>
      </c>
      <c r="D193" s="1"/>
      <c r="E193" s="75" t="str">
        <f>"(sum lines "&amp;A189&amp;"-"&amp;A192&amp;")"</f>
        <v>(sum lines 147-150)</v>
      </c>
      <c r="F193" s="75"/>
      <c r="G193" s="75"/>
      <c r="H193" s="75"/>
      <c r="I193" s="75"/>
      <c r="J193" s="19">
        <f>SUM(J189:J192)</f>
        <v>404993730</v>
      </c>
      <c r="K193" s="1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  <c r="X193" s="218"/>
      <c r="Y193" s="218"/>
      <c r="Z193" s="218"/>
      <c r="AA193" s="218"/>
      <c r="AB193" s="218"/>
      <c r="AC193" s="218"/>
      <c r="AD193" s="218"/>
      <c r="AE193" s="218"/>
      <c r="AF193" s="218"/>
      <c r="AG193" s="218"/>
      <c r="AH193" s="218"/>
      <c r="AI193" s="218"/>
      <c r="AJ193" s="218"/>
      <c r="AK193" s="218"/>
      <c r="AL193" s="218"/>
      <c r="AM193" s="218"/>
      <c r="AN193" s="218"/>
    </row>
    <row r="194" spans="1:40">
      <c r="A194" s="9">
        <f t="shared" si="5"/>
        <v>152</v>
      </c>
      <c r="B194" s="3"/>
      <c r="C194" s="97"/>
      <c r="D194" s="1"/>
      <c r="E194" s="1"/>
      <c r="F194" s="1"/>
      <c r="G194" s="1"/>
      <c r="H194" s="193"/>
      <c r="I194" s="1"/>
      <c r="J194" s="1"/>
      <c r="K194" s="1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  <c r="X194" s="218"/>
      <c r="Y194" s="218"/>
      <c r="Z194" s="218"/>
      <c r="AA194" s="218"/>
      <c r="AB194" s="218"/>
      <c r="AC194" s="218"/>
      <c r="AD194" s="218"/>
      <c r="AE194" s="218"/>
      <c r="AF194" s="218"/>
      <c r="AG194" s="218"/>
      <c r="AH194" s="218"/>
      <c r="AI194" s="218"/>
      <c r="AJ194" s="218"/>
      <c r="AK194" s="218"/>
      <c r="AL194" s="218"/>
      <c r="AM194" s="218"/>
      <c r="AN194" s="218"/>
    </row>
    <row r="195" spans="1:40" ht="15.75" thickBot="1">
      <c r="A195" s="9">
        <f t="shared" si="5"/>
        <v>153</v>
      </c>
      <c r="B195" s="3"/>
      <c r="C195" s="97"/>
      <c r="D195" s="4" t="s">
        <v>246</v>
      </c>
      <c r="E195" s="274" t="s">
        <v>247</v>
      </c>
      <c r="F195" s="191" t="s">
        <v>254</v>
      </c>
      <c r="G195" s="1"/>
      <c r="H195" s="191" t="s">
        <v>253</v>
      </c>
      <c r="I195" s="1"/>
      <c r="J195" s="191" t="s">
        <v>255</v>
      </c>
      <c r="K195" s="1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  <c r="AB195" s="218"/>
      <c r="AC195" s="218"/>
      <c r="AD195" s="218"/>
      <c r="AE195" s="218"/>
      <c r="AF195" s="218"/>
      <c r="AG195" s="218"/>
      <c r="AH195" s="218"/>
      <c r="AI195" s="218"/>
      <c r="AJ195" s="218"/>
      <c r="AK195" s="218"/>
      <c r="AL195" s="218"/>
      <c r="AM195" s="218"/>
      <c r="AN195" s="218"/>
    </row>
    <row r="196" spans="1:40">
      <c r="A196" s="9">
        <f t="shared" si="5"/>
        <v>154</v>
      </c>
      <c r="B196" s="3"/>
      <c r="C196" s="96" t="s">
        <v>327</v>
      </c>
      <c r="D196" s="20" t="s">
        <v>391</v>
      </c>
      <c r="E196" s="1">
        <v>342768750</v>
      </c>
      <c r="F196" s="88">
        <v>0.43</v>
      </c>
      <c r="G196" s="275"/>
      <c r="H196" s="89">
        <f>IF(E196&gt;0,+J184/E196,0)</f>
        <v>6.0501361340553943E-2</v>
      </c>
      <c r="I196" s="3"/>
      <c r="J196" s="89">
        <f>H196*F196</f>
        <v>2.6015585376438194E-2</v>
      </c>
      <c r="K196" s="276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  <c r="AB196" s="218"/>
      <c r="AC196" s="218"/>
      <c r="AD196" s="218"/>
      <c r="AE196" s="218"/>
      <c r="AF196" s="218"/>
      <c r="AG196" s="218"/>
      <c r="AH196" s="218"/>
      <c r="AI196" s="218"/>
      <c r="AJ196" s="218"/>
      <c r="AK196" s="218"/>
      <c r="AL196" s="218"/>
      <c r="AM196" s="218"/>
      <c r="AN196" s="218"/>
    </row>
    <row r="197" spans="1:40">
      <c r="A197" s="9">
        <f t="shared" si="5"/>
        <v>155</v>
      </c>
      <c r="B197" s="3"/>
      <c r="C197" s="96" t="s">
        <v>328</v>
      </c>
      <c r="D197" s="223" t="s">
        <v>335</v>
      </c>
      <c r="E197" s="1"/>
      <c r="F197" s="88">
        <f>IF($E$199&gt;0,E197/$E$199,0)</f>
        <v>0</v>
      </c>
      <c r="G197" s="275"/>
      <c r="H197" s="89">
        <f>IF(E197&gt;0,J186/E197,0)</f>
        <v>0</v>
      </c>
      <c r="I197" s="3"/>
      <c r="J197" s="89">
        <f>H197*F197</f>
        <v>0</v>
      </c>
      <c r="K197" s="1"/>
      <c r="L197" s="218"/>
      <c r="M197" s="218"/>
      <c r="N197" s="218"/>
      <c r="O197" s="218"/>
      <c r="P197" s="218"/>
      <c r="Q197" s="218"/>
      <c r="R197" s="218"/>
      <c r="S197" s="218"/>
      <c r="T197" s="218"/>
      <c r="U197" s="218"/>
      <c r="V197" s="218"/>
      <c r="W197" s="218"/>
      <c r="X197" s="218"/>
      <c r="Y197" s="218"/>
      <c r="Z197" s="218"/>
      <c r="AA197" s="218"/>
      <c r="AB197" s="218"/>
      <c r="AC197" s="218"/>
      <c r="AD197" s="218"/>
      <c r="AE197" s="218"/>
      <c r="AF197" s="218"/>
      <c r="AG197" s="218"/>
      <c r="AH197" s="218"/>
      <c r="AI197" s="218"/>
      <c r="AJ197" s="218"/>
      <c r="AK197" s="218"/>
      <c r="AL197" s="218"/>
      <c r="AM197" s="218"/>
      <c r="AN197" s="218"/>
    </row>
    <row r="198" spans="1:40" ht="15.75" thickBot="1">
      <c r="A198" s="9">
        <f t="shared" si="5"/>
        <v>156</v>
      </c>
      <c r="B198" s="3"/>
      <c r="C198" s="273" t="s">
        <v>341</v>
      </c>
      <c r="D198" s="223" t="str">
        <f>"(see above line "&amp;A193&amp;")"</f>
        <v>(see above line 151)</v>
      </c>
      <c r="E198" s="4">
        <f>+J193</f>
        <v>404993730</v>
      </c>
      <c r="F198" s="88">
        <v>0.56999999999999995</v>
      </c>
      <c r="G198" s="3" t="s">
        <v>172</v>
      </c>
      <c r="H198" s="89">
        <v>0.108</v>
      </c>
      <c r="I198" s="3" t="s">
        <v>172</v>
      </c>
      <c r="J198" s="277">
        <f>H198*F198</f>
        <v>6.1559999999999997E-2</v>
      </c>
      <c r="K198" s="1"/>
      <c r="L198" s="218"/>
      <c r="M198" s="218"/>
      <c r="N198" s="218"/>
      <c r="O198" s="218"/>
      <c r="P198" s="218"/>
      <c r="Q198" s="218"/>
      <c r="R198" s="218"/>
      <c r="S198" s="218"/>
      <c r="T198" s="218"/>
      <c r="U198" s="218"/>
      <c r="V198" s="218"/>
      <c r="W198" s="218"/>
      <c r="X198" s="218"/>
      <c r="Y198" s="218"/>
      <c r="Z198" s="218"/>
      <c r="AA198" s="218"/>
      <c r="AB198" s="218"/>
      <c r="AC198" s="218"/>
      <c r="AD198" s="218"/>
      <c r="AE198" s="218"/>
      <c r="AF198" s="218"/>
      <c r="AG198" s="218"/>
      <c r="AH198" s="218"/>
      <c r="AI198" s="218"/>
      <c r="AJ198" s="218"/>
      <c r="AK198" s="218"/>
      <c r="AL198" s="218"/>
      <c r="AM198" s="218"/>
      <c r="AN198" s="218"/>
    </row>
    <row r="199" spans="1:40">
      <c r="A199" s="9">
        <f t="shared" si="5"/>
        <v>157</v>
      </c>
      <c r="B199" s="3"/>
      <c r="C199" s="97" t="str">
        <f>"Total  (sum lines "&amp;A196&amp;"-"&amp;A198&amp;")"</f>
        <v>Total  (sum lines 154-156)</v>
      </c>
      <c r="D199" s="3"/>
      <c r="E199" s="1">
        <f>E198+E197+E196</f>
        <v>747762480</v>
      </c>
      <c r="F199" s="1" t="s">
        <v>194</v>
      </c>
      <c r="G199" s="1"/>
      <c r="H199" s="1"/>
      <c r="I199" s="1" t="s">
        <v>357</v>
      </c>
      <c r="J199" s="89">
        <f>SUM(J196:J198)</f>
        <v>8.7575585376438198E-2</v>
      </c>
      <c r="K199" s="276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218"/>
      <c r="AH199" s="218"/>
      <c r="AI199" s="218"/>
      <c r="AJ199" s="218"/>
      <c r="AK199" s="218"/>
      <c r="AL199" s="218"/>
      <c r="AM199" s="218"/>
      <c r="AN199" s="218"/>
    </row>
    <row r="200" spans="1:40">
      <c r="A200" s="9"/>
      <c r="B200" s="3"/>
      <c r="C200" s="97"/>
      <c r="D200" s="3"/>
      <c r="E200" s="1"/>
      <c r="F200" s="1"/>
      <c r="G200" s="1"/>
      <c r="H200" s="1"/>
      <c r="I200" s="86" t="s">
        <v>418</v>
      </c>
      <c r="J200" s="278">
        <f>J1</f>
        <v>43616</v>
      </c>
      <c r="K200" s="276"/>
      <c r="L200" s="218"/>
      <c r="M200" s="218"/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  <c r="X200" s="218"/>
      <c r="Y200" s="218"/>
      <c r="Z200" s="218"/>
      <c r="AA200" s="218"/>
      <c r="AB200" s="218"/>
      <c r="AC200" s="218"/>
      <c r="AD200" s="218"/>
      <c r="AE200" s="218"/>
      <c r="AF200" s="218"/>
      <c r="AG200" s="218"/>
      <c r="AH200" s="218"/>
      <c r="AI200" s="218"/>
      <c r="AJ200" s="218"/>
      <c r="AK200" s="218"/>
      <c r="AL200" s="218"/>
      <c r="AM200" s="218"/>
      <c r="AN200" s="218"/>
    </row>
    <row r="201" spans="1:40">
      <c r="A201" s="3"/>
      <c r="B201" s="3"/>
      <c r="C201" s="3"/>
      <c r="D201" s="3"/>
      <c r="E201" s="3"/>
      <c r="F201" s="1"/>
      <c r="G201" s="1"/>
      <c r="I201" s="182" t="str">
        <f>$I$2</f>
        <v>Service Year</v>
      </c>
      <c r="J201" s="75">
        <f>$J$2</f>
        <v>2018</v>
      </c>
      <c r="L201" s="218"/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  <c r="X201" s="218"/>
      <c r="Y201" s="218"/>
      <c r="Z201" s="218"/>
      <c r="AA201" s="218"/>
      <c r="AB201" s="218"/>
      <c r="AC201" s="218"/>
      <c r="AD201" s="218"/>
      <c r="AE201" s="218"/>
      <c r="AF201" s="218"/>
      <c r="AG201" s="218"/>
      <c r="AH201" s="218"/>
      <c r="AI201" s="218"/>
      <c r="AJ201" s="218"/>
      <c r="AK201" s="218"/>
      <c r="AL201" s="218"/>
      <c r="AM201" s="218"/>
      <c r="AN201" s="218"/>
    </row>
    <row r="202" spans="1:40">
      <c r="A202" s="9"/>
      <c r="B202" s="3"/>
      <c r="C202" s="97"/>
      <c r="D202" s="75"/>
      <c r="E202" s="1"/>
      <c r="F202" s="1"/>
      <c r="G202" s="1"/>
      <c r="H202" s="1"/>
      <c r="I202" s="75"/>
      <c r="J202" s="1"/>
      <c r="K202" s="75"/>
      <c r="L202" s="218"/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  <c r="X202" s="218"/>
      <c r="Y202" s="218"/>
      <c r="Z202" s="218"/>
      <c r="AA202" s="218"/>
      <c r="AB202" s="218"/>
      <c r="AC202" s="218"/>
      <c r="AD202" s="218"/>
      <c r="AE202" s="218"/>
      <c r="AF202" s="218"/>
      <c r="AG202" s="218"/>
      <c r="AH202" s="218"/>
      <c r="AI202" s="218"/>
      <c r="AJ202" s="218"/>
      <c r="AK202" s="218"/>
      <c r="AL202" s="218"/>
      <c r="AM202" s="218"/>
      <c r="AN202" s="218"/>
    </row>
    <row r="203" spans="1:40" ht="15.75">
      <c r="A203" s="305" t="s">
        <v>321</v>
      </c>
      <c r="B203" s="305"/>
      <c r="C203" s="305"/>
      <c r="D203" s="305"/>
      <c r="E203" s="305"/>
      <c r="F203" s="305"/>
      <c r="G203" s="305"/>
      <c r="H203" s="305"/>
      <c r="I203" s="305"/>
      <c r="J203" s="305"/>
      <c r="K203" s="305"/>
      <c r="L203" s="218"/>
      <c r="M203" s="218"/>
      <c r="N203" s="218"/>
      <c r="O203" s="218"/>
      <c r="P203" s="218"/>
      <c r="Q203" s="218"/>
      <c r="R203" s="218"/>
      <c r="S203" s="218"/>
      <c r="T203" s="218"/>
      <c r="U203" s="218"/>
      <c r="V203" s="218"/>
      <c r="W203" s="218"/>
      <c r="X203" s="218"/>
      <c r="Y203" s="218"/>
      <c r="Z203" s="218"/>
      <c r="AA203" s="218"/>
      <c r="AB203" s="218"/>
      <c r="AC203" s="218"/>
      <c r="AD203" s="218"/>
      <c r="AE203" s="218"/>
      <c r="AF203" s="218"/>
      <c r="AG203" s="218"/>
      <c r="AH203" s="218"/>
      <c r="AI203" s="218"/>
      <c r="AJ203" s="218"/>
      <c r="AK203" s="218"/>
      <c r="AL203" s="218"/>
      <c r="AM203" s="218"/>
      <c r="AN203" s="218"/>
    </row>
    <row r="204" spans="1:40" ht="15.75">
      <c r="A204" s="306" t="s">
        <v>195</v>
      </c>
      <c r="B204" s="306"/>
      <c r="C204" s="306"/>
      <c r="D204" s="306"/>
      <c r="E204" s="306"/>
      <c r="F204" s="306"/>
      <c r="G204" s="306"/>
      <c r="H204" s="306"/>
      <c r="I204" s="306"/>
      <c r="J204" s="306"/>
      <c r="K204" s="306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  <c r="X204" s="218"/>
      <c r="Y204" s="218"/>
      <c r="Z204" s="218"/>
      <c r="AA204" s="218"/>
      <c r="AB204" s="218"/>
      <c r="AC204" s="218"/>
      <c r="AD204" s="218"/>
      <c r="AE204" s="218"/>
      <c r="AF204" s="218"/>
      <c r="AG204" s="218"/>
      <c r="AH204" s="218"/>
      <c r="AI204" s="218"/>
      <c r="AJ204" s="218"/>
      <c r="AK204" s="218"/>
      <c r="AL204" s="218"/>
      <c r="AM204" s="218"/>
      <c r="AN204" s="218"/>
    </row>
    <row r="205" spans="1:40">
      <c r="A205" s="3"/>
      <c r="B205" s="3"/>
      <c r="C205" s="75"/>
      <c r="D205" s="75"/>
      <c r="F205" s="75"/>
      <c r="G205" s="75"/>
      <c r="H205" s="75"/>
      <c r="I205" s="75"/>
      <c r="J205" s="75"/>
      <c r="K205" s="75"/>
      <c r="L205" s="218"/>
      <c r="M205" s="218"/>
      <c r="N205" s="218"/>
      <c r="O205" s="218"/>
      <c r="P205" s="218"/>
      <c r="Q205" s="218"/>
      <c r="R205" s="218"/>
      <c r="S205" s="218"/>
      <c r="T205" s="218"/>
      <c r="U205" s="218"/>
      <c r="V205" s="218"/>
      <c r="W205" s="218"/>
      <c r="X205" s="218"/>
      <c r="Y205" s="218"/>
      <c r="Z205" s="218"/>
      <c r="AA205" s="218"/>
      <c r="AB205" s="218"/>
      <c r="AC205" s="218"/>
      <c r="AD205" s="218"/>
      <c r="AE205" s="218"/>
      <c r="AF205" s="218"/>
      <c r="AG205" s="218"/>
      <c r="AH205" s="218"/>
      <c r="AI205" s="218"/>
      <c r="AJ205" s="218"/>
      <c r="AK205" s="218"/>
      <c r="AL205" s="218"/>
      <c r="AM205" s="218"/>
      <c r="AN205" s="218"/>
    </row>
    <row r="206" spans="1:40" ht="15.75">
      <c r="A206" s="307" t="s">
        <v>320</v>
      </c>
      <c r="B206" s="307"/>
      <c r="C206" s="307"/>
      <c r="D206" s="307"/>
      <c r="E206" s="307"/>
      <c r="F206" s="307"/>
      <c r="G206" s="307"/>
      <c r="H206" s="307"/>
      <c r="I206" s="307"/>
      <c r="J206" s="307"/>
      <c r="K206" s="307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  <c r="X206" s="218"/>
      <c r="Y206" s="218"/>
      <c r="Z206" s="218"/>
      <c r="AA206" s="218"/>
      <c r="AB206" s="218"/>
      <c r="AC206" s="218"/>
      <c r="AD206" s="218"/>
      <c r="AE206" s="218"/>
      <c r="AF206" s="218"/>
      <c r="AG206" s="218"/>
      <c r="AH206" s="218"/>
      <c r="AI206" s="218"/>
      <c r="AJ206" s="218"/>
      <c r="AK206" s="218"/>
      <c r="AL206" s="218"/>
      <c r="AM206" s="218"/>
      <c r="AN206" s="218"/>
    </row>
    <row r="207" spans="1:40">
      <c r="A207" s="9"/>
      <c r="B207" s="2"/>
      <c r="C207" s="279"/>
      <c r="D207" s="9"/>
      <c r="E207" s="1"/>
      <c r="F207" s="1"/>
      <c r="G207" s="1"/>
      <c r="H207" s="1"/>
      <c r="I207" s="2"/>
      <c r="J207" s="280"/>
      <c r="K207" s="281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  <c r="X207" s="218"/>
      <c r="Y207" s="218"/>
      <c r="Z207" s="218"/>
      <c r="AA207" s="218"/>
      <c r="AB207" s="218"/>
      <c r="AC207" s="218"/>
      <c r="AD207" s="218"/>
      <c r="AE207" s="218"/>
      <c r="AF207" s="218"/>
      <c r="AG207" s="218"/>
      <c r="AH207" s="218"/>
      <c r="AI207" s="218"/>
      <c r="AJ207" s="218"/>
      <c r="AK207" s="218"/>
      <c r="AL207" s="218"/>
      <c r="AM207" s="218"/>
      <c r="AN207" s="218"/>
    </row>
    <row r="208" spans="1:40">
      <c r="A208" s="3"/>
      <c r="B208" s="2"/>
      <c r="C208" s="96"/>
      <c r="D208" s="9"/>
      <c r="E208" s="1"/>
      <c r="F208" s="1"/>
      <c r="G208" s="1"/>
      <c r="H208" s="1"/>
      <c r="I208" s="2"/>
      <c r="J208" s="1"/>
      <c r="K208" s="2"/>
      <c r="L208" s="218"/>
      <c r="M208" s="218"/>
      <c r="N208" s="218"/>
      <c r="O208" s="218"/>
      <c r="P208" s="218"/>
      <c r="Q208" s="218"/>
      <c r="R208" s="218"/>
      <c r="S208" s="218"/>
      <c r="T208" s="218"/>
      <c r="U208" s="218"/>
      <c r="V208" s="218"/>
      <c r="W208" s="218"/>
      <c r="X208" s="218"/>
      <c r="Y208" s="218"/>
      <c r="Z208" s="218"/>
      <c r="AA208" s="218"/>
      <c r="AB208" s="218"/>
      <c r="AC208" s="218"/>
      <c r="AD208" s="218"/>
      <c r="AE208" s="218"/>
      <c r="AF208" s="218"/>
      <c r="AG208" s="218"/>
      <c r="AH208" s="218"/>
      <c r="AI208" s="218"/>
      <c r="AJ208" s="218"/>
      <c r="AK208" s="218"/>
      <c r="AL208" s="218"/>
      <c r="AM208" s="218"/>
      <c r="AN208" s="218"/>
    </row>
    <row r="209" spans="1:40">
      <c r="A209" s="9"/>
      <c r="B209" s="2"/>
      <c r="C209" s="96"/>
      <c r="D209" s="9"/>
      <c r="E209" s="1"/>
      <c r="F209" s="1"/>
      <c r="G209" s="1"/>
      <c r="H209" s="1"/>
      <c r="I209" s="2"/>
      <c r="J209" s="1"/>
      <c r="K209" s="2"/>
      <c r="L209" s="218"/>
      <c r="M209" s="218"/>
      <c r="N209" s="218"/>
      <c r="O209" s="218"/>
      <c r="P209" s="218"/>
      <c r="Q209" s="218"/>
      <c r="R209" s="218"/>
      <c r="S209" s="218"/>
      <c r="T209" s="218"/>
      <c r="U209" s="218"/>
      <c r="V209" s="218"/>
      <c r="W209" s="218"/>
      <c r="X209" s="218"/>
      <c r="Y209" s="218"/>
      <c r="Z209" s="218"/>
      <c r="AA209" s="218"/>
      <c r="AB209" s="218"/>
      <c r="AC209" s="218"/>
      <c r="AD209" s="218"/>
      <c r="AE209" s="218"/>
      <c r="AF209" s="218"/>
      <c r="AG209" s="218"/>
      <c r="AH209" s="218"/>
      <c r="AI209" s="218"/>
      <c r="AJ209" s="218"/>
      <c r="AK209" s="218"/>
      <c r="AL209" s="218"/>
      <c r="AM209" s="218"/>
      <c r="AN209" s="218"/>
    </row>
    <row r="210" spans="1:40">
      <c r="A210" s="9"/>
      <c r="B210" s="2"/>
      <c r="C210" s="96"/>
      <c r="D210" s="9"/>
      <c r="E210" s="1"/>
      <c r="F210" s="1"/>
      <c r="G210" s="1"/>
      <c r="H210" s="1"/>
      <c r="I210" s="2"/>
      <c r="J210" s="1"/>
      <c r="K210" s="2"/>
      <c r="L210" s="218"/>
      <c r="M210" s="218"/>
      <c r="N210" s="218"/>
      <c r="O210" s="218"/>
      <c r="P210" s="218"/>
      <c r="Q210" s="218"/>
      <c r="R210" s="218"/>
      <c r="S210" s="218"/>
      <c r="T210" s="218"/>
      <c r="U210" s="218"/>
      <c r="V210" s="218"/>
      <c r="W210" s="218"/>
      <c r="X210" s="218"/>
      <c r="Y210" s="218"/>
      <c r="Z210" s="218"/>
      <c r="AA210" s="218"/>
      <c r="AB210" s="218"/>
      <c r="AC210" s="218"/>
      <c r="AD210" s="218"/>
      <c r="AE210" s="218"/>
      <c r="AF210" s="218"/>
      <c r="AG210" s="218"/>
      <c r="AH210" s="218"/>
      <c r="AI210" s="218"/>
      <c r="AJ210" s="218"/>
      <c r="AK210" s="218"/>
      <c r="AL210" s="218"/>
      <c r="AM210" s="218"/>
      <c r="AN210" s="218"/>
    </row>
    <row r="211" spans="1:40">
      <c r="A211" s="9" t="s">
        <v>256</v>
      </c>
      <c r="B211" s="2"/>
      <c r="C211" s="96"/>
      <c r="D211" s="2"/>
      <c r="E211" s="1"/>
      <c r="F211" s="1"/>
      <c r="G211" s="1"/>
      <c r="H211" s="1"/>
      <c r="I211" s="2"/>
      <c r="J211" s="1"/>
      <c r="K211" s="2"/>
      <c r="L211" s="218"/>
      <c r="M211" s="218"/>
      <c r="N211" s="218"/>
      <c r="O211" s="218"/>
      <c r="P211" s="218"/>
      <c r="Q211" s="218"/>
      <c r="R211" s="218"/>
      <c r="S211" s="218"/>
      <c r="T211" s="218"/>
      <c r="U211" s="218"/>
      <c r="V211" s="218"/>
      <c r="W211" s="218"/>
      <c r="X211" s="218"/>
      <c r="Y211" s="218"/>
      <c r="Z211" s="218"/>
      <c r="AA211" s="218"/>
      <c r="AB211" s="218"/>
      <c r="AC211" s="218"/>
      <c r="AD211" s="218"/>
      <c r="AE211" s="218"/>
      <c r="AF211" s="218"/>
      <c r="AG211" s="218"/>
      <c r="AH211" s="218"/>
      <c r="AI211" s="218"/>
      <c r="AJ211" s="218"/>
      <c r="AK211" s="218"/>
      <c r="AL211" s="218"/>
      <c r="AM211" s="218"/>
      <c r="AN211" s="218"/>
    </row>
    <row r="212" spans="1:40" ht="15.75" thickBot="1">
      <c r="A212" s="191" t="s">
        <v>257</v>
      </c>
      <c r="B212" s="2"/>
      <c r="C212" s="96"/>
      <c r="D212" s="2"/>
      <c r="E212" s="1"/>
      <c r="F212" s="1"/>
      <c r="G212" s="1"/>
      <c r="H212" s="1"/>
      <c r="I212" s="2"/>
      <c r="J212" s="1"/>
      <c r="K212" s="2"/>
      <c r="L212" s="218"/>
      <c r="M212" s="218"/>
      <c r="N212" s="218"/>
      <c r="O212" s="218"/>
      <c r="P212" s="218"/>
      <c r="Q212" s="218"/>
      <c r="R212" s="218"/>
      <c r="S212" s="218"/>
      <c r="T212" s="218"/>
      <c r="U212" s="218"/>
      <c r="V212" s="218"/>
      <c r="W212" s="218"/>
      <c r="X212" s="218"/>
      <c r="Y212" s="218"/>
      <c r="Z212" s="218"/>
      <c r="AA212" s="218"/>
      <c r="AB212" s="218"/>
      <c r="AC212" s="218"/>
      <c r="AD212" s="218"/>
      <c r="AE212" s="218"/>
      <c r="AF212" s="218"/>
      <c r="AG212" s="218"/>
      <c r="AH212" s="218"/>
      <c r="AI212" s="218"/>
      <c r="AJ212" s="218"/>
      <c r="AK212" s="218"/>
      <c r="AL212" s="218"/>
      <c r="AM212" s="218"/>
      <c r="AN212" s="218"/>
    </row>
    <row r="213" spans="1:40">
      <c r="A213" s="9"/>
      <c r="B213" s="2"/>
      <c r="C213" s="96"/>
      <c r="D213" s="2"/>
      <c r="E213" s="1"/>
      <c r="F213" s="1"/>
      <c r="G213" s="1"/>
      <c r="H213" s="1"/>
      <c r="I213" s="2"/>
      <c r="J213" s="1"/>
      <c r="K213" s="2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  <c r="X213" s="218"/>
      <c r="Y213" s="218"/>
      <c r="Z213" s="218"/>
      <c r="AA213" s="218"/>
      <c r="AB213" s="218"/>
      <c r="AC213" s="218"/>
      <c r="AD213" s="218"/>
      <c r="AE213" s="218"/>
      <c r="AF213" s="218"/>
      <c r="AG213" s="218"/>
      <c r="AH213" s="218"/>
      <c r="AI213" s="218"/>
      <c r="AJ213" s="218"/>
      <c r="AK213" s="218"/>
      <c r="AL213" s="218"/>
      <c r="AM213" s="218"/>
      <c r="AN213" s="218"/>
    </row>
    <row r="214" spans="1:40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  <c r="X214" s="218"/>
      <c r="Y214" s="218"/>
      <c r="Z214" s="218"/>
      <c r="AA214" s="218"/>
      <c r="AB214" s="218"/>
      <c r="AC214" s="218"/>
      <c r="AD214" s="218"/>
      <c r="AE214" s="218"/>
      <c r="AF214" s="218"/>
      <c r="AG214" s="218"/>
      <c r="AH214" s="218"/>
      <c r="AI214" s="218"/>
      <c r="AJ214" s="218"/>
      <c r="AK214" s="218"/>
      <c r="AL214" s="218"/>
      <c r="AM214" s="218"/>
      <c r="AN214" s="218"/>
    </row>
    <row r="215" spans="1:40">
      <c r="A215" s="9" t="s">
        <v>258</v>
      </c>
      <c r="B215" s="2"/>
      <c r="C215" s="2" t="s">
        <v>359</v>
      </c>
      <c r="D215" s="2"/>
      <c r="E215" s="2"/>
      <c r="F215" s="2"/>
      <c r="G215" s="2"/>
      <c r="H215" s="2"/>
      <c r="I215" s="2"/>
      <c r="J215" s="2"/>
      <c r="K215" s="2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  <c r="X215" s="218"/>
      <c r="Y215" s="218"/>
      <c r="Z215" s="218"/>
      <c r="AA215" s="218"/>
      <c r="AB215" s="218"/>
      <c r="AC215" s="218"/>
      <c r="AD215" s="218"/>
      <c r="AE215" s="218"/>
      <c r="AF215" s="218"/>
      <c r="AG215" s="218"/>
      <c r="AH215" s="218"/>
      <c r="AI215" s="218"/>
      <c r="AJ215" s="218"/>
      <c r="AK215" s="218"/>
      <c r="AL215" s="218"/>
      <c r="AM215" s="218"/>
      <c r="AN215" s="218"/>
    </row>
    <row r="216" spans="1:40">
      <c r="A216" s="9"/>
      <c r="B216" s="2"/>
      <c r="C216" s="2" t="s">
        <v>84</v>
      </c>
      <c r="D216" s="2"/>
      <c r="E216" s="2"/>
      <c r="F216" s="2"/>
      <c r="G216" s="2"/>
      <c r="H216" s="2"/>
      <c r="I216" s="2"/>
      <c r="J216" s="2"/>
      <c r="K216" s="2"/>
      <c r="L216" s="218"/>
      <c r="M216" s="218"/>
      <c r="N216" s="218"/>
      <c r="O216" s="218"/>
      <c r="P216" s="218"/>
      <c r="Q216" s="218"/>
      <c r="R216" s="218"/>
      <c r="S216" s="218"/>
      <c r="T216" s="218"/>
      <c r="U216" s="218"/>
      <c r="V216" s="218"/>
      <c r="W216" s="218"/>
      <c r="X216" s="218"/>
      <c r="Y216" s="218"/>
      <c r="Z216" s="218"/>
      <c r="AA216" s="218"/>
      <c r="AB216" s="218"/>
      <c r="AC216" s="218"/>
      <c r="AD216" s="218"/>
      <c r="AE216" s="218"/>
      <c r="AF216" s="218"/>
      <c r="AG216" s="218"/>
      <c r="AH216" s="218"/>
      <c r="AI216" s="218"/>
      <c r="AJ216" s="218"/>
      <c r="AK216" s="218"/>
      <c r="AL216" s="218"/>
      <c r="AM216" s="218"/>
      <c r="AN216" s="218"/>
    </row>
    <row r="217" spans="1:40">
      <c r="A217" s="9"/>
      <c r="B217" s="2"/>
      <c r="C217" s="2" t="s">
        <v>112</v>
      </c>
      <c r="D217" s="2"/>
      <c r="E217" s="2"/>
      <c r="F217" s="2"/>
      <c r="G217" s="2"/>
      <c r="H217" s="2"/>
      <c r="I217" s="2"/>
      <c r="J217" s="2"/>
      <c r="K217" s="2"/>
      <c r="L217" s="218"/>
      <c r="M217" s="218"/>
      <c r="N217" s="218"/>
      <c r="O217" s="218"/>
      <c r="P217" s="218"/>
      <c r="Q217" s="218"/>
      <c r="R217" s="218"/>
      <c r="S217" s="218"/>
      <c r="T217" s="218"/>
      <c r="U217" s="218"/>
      <c r="V217" s="218"/>
      <c r="W217" s="218"/>
      <c r="X217" s="218"/>
      <c r="Y217" s="218"/>
      <c r="Z217" s="218"/>
      <c r="AA217" s="218"/>
      <c r="AB217" s="218"/>
      <c r="AC217" s="218"/>
      <c r="AD217" s="218"/>
      <c r="AE217" s="218"/>
      <c r="AF217" s="218"/>
      <c r="AG217" s="218"/>
      <c r="AH217" s="218"/>
      <c r="AI217" s="218"/>
      <c r="AJ217" s="218"/>
      <c r="AK217" s="218"/>
      <c r="AL217" s="218"/>
      <c r="AM217" s="218"/>
      <c r="AN217" s="218"/>
    </row>
    <row r="218" spans="1:40">
      <c r="A218" s="9" t="s">
        <v>259</v>
      </c>
      <c r="B218" s="2"/>
      <c r="C218" s="2" t="s">
        <v>265</v>
      </c>
      <c r="D218" s="2"/>
      <c r="E218" s="2"/>
      <c r="F218" s="2"/>
      <c r="G218" s="2"/>
      <c r="H218" s="2"/>
      <c r="I218" s="2"/>
      <c r="J218" s="2"/>
      <c r="K218" s="2"/>
      <c r="L218" s="218"/>
      <c r="M218" s="218"/>
      <c r="N218" s="218"/>
      <c r="O218" s="218"/>
      <c r="P218" s="218"/>
      <c r="Q218" s="218"/>
      <c r="R218" s="218"/>
      <c r="S218" s="218"/>
      <c r="T218" s="218"/>
      <c r="U218" s="218"/>
      <c r="V218" s="218"/>
      <c r="W218" s="218"/>
      <c r="X218" s="218"/>
      <c r="Y218" s="218"/>
      <c r="Z218" s="218"/>
      <c r="AA218" s="218"/>
      <c r="AB218" s="218"/>
      <c r="AC218" s="218"/>
      <c r="AD218" s="218"/>
      <c r="AE218" s="218"/>
      <c r="AF218" s="218"/>
      <c r="AG218" s="218"/>
      <c r="AH218" s="218"/>
      <c r="AI218" s="218"/>
      <c r="AJ218" s="218"/>
      <c r="AK218" s="218"/>
      <c r="AL218" s="218"/>
      <c r="AM218" s="218"/>
      <c r="AN218" s="218"/>
    </row>
    <row r="219" spans="1:40">
      <c r="A219" s="9" t="s">
        <v>260</v>
      </c>
      <c r="B219" s="2"/>
      <c r="C219" s="2" t="s">
        <v>76</v>
      </c>
      <c r="D219" s="2"/>
      <c r="E219" s="2"/>
      <c r="F219" s="2"/>
      <c r="G219" s="2"/>
      <c r="H219" s="2"/>
      <c r="I219" s="2"/>
      <c r="J219" s="2"/>
      <c r="K219" s="2"/>
      <c r="L219" s="218"/>
      <c r="M219" s="218"/>
      <c r="N219" s="218"/>
      <c r="O219" s="218"/>
      <c r="P219" s="218"/>
      <c r="Q219" s="218"/>
      <c r="R219" s="218"/>
      <c r="S219" s="218"/>
      <c r="T219" s="218"/>
      <c r="U219" s="218"/>
      <c r="V219" s="218"/>
      <c r="W219" s="218"/>
      <c r="X219" s="218"/>
      <c r="Y219" s="218"/>
      <c r="Z219" s="218"/>
      <c r="AA219" s="218"/>
      <c r="AB219" s="218"/>
      <c r="AC219" s="218"/>
      <c r="AD219" s="218"/>
      <c r="AE219" s="218"/>
      <c r="AF219" s="218"/>
      <c r="AG219" s="218"/>
      <c r="AH219" s="218"/>
      <c r="AI219" s="218"/>
      <c r="AJ219" s="218"/>
      <c r="AK219" s="218"/>
      <c r="AL219" s="218"/>
      <c r="AM219" s="218"/>
      <c r="AN219" s="218"/>
    </row>
    <row r="220" spans="1:40">
      <c r="A220" s="9" t="s">
        <v>261</v>
      </c>
      <c r="B220" s="2"/>
      <c r="C220" s="2" t="s">
        <v>85</v>
      </c>
      <c r="D220" s="2"/>
      <c r="E220" s="2"/>
      <c r="F220" s="2"/>
      <c r="G220" s="2"/>
      <c r="H220" s="2"/>
      <c r="I220" s="2"/>
      <c r="J220" s="2"/>
      <c r="K220" s="2"/>
      <c r="L220" s="218"/>
      <c r="M220" s="218"/>
      <c r="N220" s="218"/>
      <c r="O220" s="218"/>
      <c r="P220" s="218"/>
      <c r="Q220" s="218"/>
      <c r="R220" s="218"/>
      <c r="S220" s="218"/>
      <c r="T220" s="218"/>
      <c r="U220" s="218"/>
      <c r="V220" s="218"/>
      <c r="W220" s="218"/>
      <c r="X220" s="218"/>
      <c r="Y220" s="218"/>
      <c r="Z220" s="218"/>
      <c r="AA220" s="218"/>
      <c r="AB220" s="218"/>
      <c r="AC220" s="218"/>
      <c r="AD220" s="218"/>
      <c r="AE220" s="218"/>
      <c r="AF220" s="218"/>
      <c r="AG220" s="218"/>
      <c r="AH220" s="218"/>
      <c r="AI220" s="218"/>
      <c r="AJ220" s="218"/>
      <c r="AK220" s="218"/>
      <c r="AL220" s="218"/>
      <c r="AM220" s="218"/>
      <c r="AN220" s="218"/>
    </row>
    <row r="221" spans="1:40">
      <c r="A221" s="9" t="s">
        <v>262</v>
      </c>
      <c r="B221" s="2"/>
      <c r="C221" s="2" t="s">
        <v>396</v>
      </c>
      <c r="D221" s="2"/>
      <c r="E221" s="2"/>
      <c r="F221" s="2"/>
      <c r="G221" s="2"/>
      <c r="H221" s="2"/>
      <c r="I221" s="2"/>
      <c r="J221" s="282"/>
      <c r="K221" s="2"/>
      <c r="L221" s="194"/>
      <c r="M221" s="218"/>
      <c r="N221" s="218"/>
      <c r="O221" s="218"/>
      <c r="P221" s="218"/>
      <c r="Q221" s="218"/>
      <c r="R221" s="218"/>
      <c r="S221" s="218"/>
      <c r="T221" s="218"/>
      <c r="U221" s="218"/>
      <c r="V221" s="218"/>
      <c r="W221" s="218"/>
      <c r="X221" s="218"/>
      <c r="Y221" s="218"/>
      <c r="Z221" s="218"/>
      <c r="AA221" s="218"/>
      <c r="AB221" s="218"/>
      <c r="AC221" s="218"/>
      <c r="AD221" s="218"/>
      <c r="AE221" s="218"/>
      <c r="AF221" s="218"/>
      <c r="AG221" s="218"/>
      <c r="AH221" s="218"/>
      <c r="AI221" s="218"/>
      <c r="AJ221" s="218"/>
      <c r="AK221" s="218"/>
      <c r="AL221" s="218"/>
      <c r="AM221" s="218"/>
      <c r="AN221" s="218"/>
    </row>
    <row r="222" spans="1:40">
      <c r="A222" s="9"/>
      <c r="B222" s="2"/>
      <c r="C222" s="3" t="s">
        <v>136</v>
      </c>
      <c r="D222" s="2"/>
      <c r="E222" s="2"/>
      <c r="F222" s="2"/>
      <c r="G222" s="2"/>
      <c r="H222" s="2"/>
      <c r="I222" s="2"/>
      <c r="J222" s="282"/>
      <c r="K222" s="2"/>
      <c r="L222" s="283"/>
      <c r="M222" s="2"/>
      <c r="N222" s="218"/>
      <c r="O222" s="218"/>
      <c r="P222" s="218"/>
      <c r="Q222" s="218"/>
      <c r="R222" s="218"/>
      <c r="S222" s="218"/>
      <c r="T222" s="218"/>
      <c r="U222" s="218"/>
      <c r="V222" s="218"/>
      <c r="W222" s="218"/>
      <c r="X222" s="218"/>
      <c r="Y222" s="218"/>
      <c r="Z222" s="218"/>
      <c r="AA222" s="218"/>
      <c r="AB222" s="218"/>
      <c r="AC222" s="218"/>
      <c r="AD222" s="218"/>
      <c r="AE222" s="218"/>
      <c r="AF222" s="218"/>
      <c r="AG222" s="218"/>
      <c r="AH222" s="218"/>
      <c r="AI222" s="218"/>
      <c r="AJ222" s="218"/>
      <c r="AK222" s="218"/>
      <c r="AL222" s="218"/>
      <c r="AM222" s="218"/>
      <c r="AN222" s="218"/>
    </row>
    <row r="223" spans="1:40">
      <c r="A223" s="9" t="s">
        <v>263</v>
      </c>
      <c r="B223" s="2"/>
      <c r="C223" s="2" t="s">
        <v>268</v>
      </c>
      <c r="D223" s="2"/>
      <c r="E223" s="2"/>
      <c r="F223" s="2"/>
      <c r="G223" s="2"/>
      <c r="H223" s="2"/>
      <c r="I223" s="2"/>
      <c r="J223" s="282"/>
      <c r="K223" s="2"/>
      <c r="L223" s="284"/>
      <c r="M223" s="2"/>
      <c r="N223" s="218"/>
      <c r="O223" s="218"/>
      <c r="P223" s="218"/>
      <c r="Q223" s="218"/>
      <c r="R223" s="218"/>
      <c r="S223" s="218"/>
      <c r="T223" s="218"/>
      <c r="U223" s="218"/>
      <c r="V223" s="218"/>
      <c r="W223" s="218"/>
      <c r="X223" s="218"/>
      <c r="Y223" s="218"/>
      <c r="Z223" s="218"/>
      <c r="AA223" s="218"/>
      <c r="AB223" s="218"/>
      <c r="AC223" s="218"/>
      <c r="AD223" s="218"/>
      <c r="AE223" s="218"/>
      <c r="AF223" s="218"/>
      <c r="AG223" s="218"/>
      <c r="AH223" s="218"/>
      <c r="AI223" s="218"/>
      <c r="AJ223" s="218"/>
      <c r="AK223" s="218"/>
      <c r="AL223" s="218"/>
      <c r="AM223" s="218"/>
      <c r="AN223" s="218"/>
    </row>
    <row r="224" spans="1:40">
      <c r="A224" s="9"/>
      <c r="B224" s="2"/>
      <c r="C224" s="2" t="s">
        <v>193</v>
      </c>
      <c r="D224" s="2"/>
      <c r="E224" s="2"/>
      <c r="F224" s="2"/>
      <c r="G224" s="2"/>
      <c r="H224" s="2"/>
      <c r="I224" s="2"/>
      <c r="J224" s="282"/>
      <c r="K224" s="2"/>
      <c r="L224" s="218"/>
      <c r="M224" s="2"/>
      <c r="N224" s="218"/>
      <c r="O224" s="218"/>
      <c r="P224" s="218"/>
      <c r="Q224" s="218"/>
      <c r="R224" s="218"/>
      <c r="S224" s="218"/>
      <c r="T224" s="218"/>
      <c r="U224" s="218"/>
      <c r="V224" s="218"/>
      <c r="W224" s="218"/>
      <c r="X224" s="218"/>
      <c r="Y224" s="218"/>
      <c r="Z224" s="218"/>
      <c r="AA224" s="218"/>
      <c r="AB224" s="218"/>
      <c r="AC224" s="218"/>
      <c r="AD224" s="218"/>
      <c r="AE224" s="218"/>
      <c r="AF224" s="218"/>
      <c r="AG224" s="218"/>
      <c r="AH224" s="218"/>
      <c r="AI224" s="218"/>
      <c r="AJ224" s="218"/>
      <c r="AK224" s="218"/>
      <c r="AL224" s="218"/>
      <c r="AM224" s="218"/>
      <c r="AN224" s="218"/>
    </row>
    <row r="225" spans="1:40">
      <c r="A225" s="9"/>
      <c r="B225" s="2"/>
      <c r="C225" s="2" t="s">
        <v>291</v>
      </c>
      <c r="D225" s="2"/>
      <c r="E225" s="2"/>
      <c r="F225" s="2"/>
      <c r="G225" s="2"/>
      <c r="H225" s="2"/>
      <c r="I225" s="2"/>
      <c r="J225" s="282"/>
      <c r="K225" s="2"/>
      <c r="L225" s="218"/>
      <c r="M225" s="2"/>
      <c r="N225" s="218"/>
      <c r="O225" s="218"/>
      <c r="P225" s="218"/>
      <c r="Q225" s="218"/>
      <c r="R225" s="218"/>
      <c r="S225" s="218"/>
      <c r="T225" s="218"/>
      <c r="U225" s="218"/>
      <c r="V225" s="218"/>
      <c r="W225" s="218"/>
      <c r="X225" s="218"/>
      <c r="Y225" s="218"/>
      <c r="Z225" s="218"/>
      <c r="AA225" s="218"/>
      <c r="AB225" s="218"/>
      <c r="AC225" s="218"/>
      <c r="AD225" s="218"/>
      <c r="AE225" s="218"/>
      <c r="AF225" s="218"/>
      <c r="AG225" s="218"/>
      <c r="AH225" s="218"/>
      <c r="AI225" s="218"/>
      <c r="AJ225" s="218"/>
      <c r="AK225" s="218"/>
      <c r="AL225" s="218"/>
      <c r="AM225" s="218"/>
      <c r="AN225" s="218"/>
    </row>
    <row r="226" spans="1:40">
      <c r="A226" s="9" t="s">
        <v>264</v>
      </c>
      <c r="B226" s="2"/>
      <c r="C226" s="2" t="s">
        <v>275</v>
      </c>
      <c r="D226" s="2"/>
      <c r="E226" s="2"/>
      <c r="F226" s="2"/>
      <c r="G226" s="2"/>
      <c r="H226" s="2"/>
      <c r="I226" s="282"/>
      <c r="J226" s="282"/>
      <c r="K226" s="2"/>
      <c r="L226" s="218"/>
      <c r="M226" s="2"/>
      <c r="N226" s="218"/>
      <c r="O226" s="218"/>
      <c r="P226" s="218"/>
      <c r="Q226" s="218"/>
      <c r="R226" s="218"/>
      <c r="S226" s="218"/>
      <c r="T226" s="218"/>
      <c r="U226" s="218"/>
      <c r="V226" s="218"/>
      <c r="W226" s="218"/>
      <c r="X226" s="218"/>
      <c r="Y226" s="218"/>
      <c r="Z226" s="218"/>
      <c r="AA226" s="218"/>
      <c r="AB226" s="218"/>
      <c r="AC226" s="218"/>
      <c r="AD226" s="218"/>
      <c r="AE226" s="218"/>
      <c r="AF226" s="218"/>
      <c r="AG226" s="218"/>
      <c r="AH226" s="218"/>
      <c r="AI226" s="218"/>
      <c r="AJ226" s="218"/>
      <c r="AK226" s="218"/>
      <c r="AL226" s="218"/>
      <c r="AM226" s="218"/>
      <c r="AN226" s="218"/>
    </row>
    <row r="227" spans="1:40">
      <c r="A227" s="9"/>
      <c r="B227" s="2"/>
      <c r="C227" s="2" t="s">
        <v>277</v>
      </c>
      <c r="D227" s="2"/>
      <c r="E227" s="2"/>
      <c r="F227" s="2"/>
      <c r="G227" s="2"/>
      <c r="H227" s="2"/>
      <c r="I227" s="2"/>
      <c r="J227" s="2"/>
      <c r="K227" s="2"/>
      <c r="L227" s="218"/>
      <c r="M227" s="282"/>
      <c r="N227" s="218"/>
      <c r="O227" s="218"/>
      <c r="P227" s="218"/>
      <c r="Q227" s="218"/>
      <c r="R227" s="218"/>
      <c r="S227" s="218"/>
      <c r="T227" s="218"/>
      <c r="U227" s="218"/>
      <c r="V227" s="218"/>
      <c r="W227" s="218"/>
      <c r="X227" s="218"/>
      <c r="Y227" s="218"/>
      <c r="Z227" s="218"/>
      <c r="AA227" s="218"/>
      <c r="AB227" s="218"/>
      <c r="AC227" s="218"/>
      <c r="AD227" s="218"/>
      <c r="AE227" s="218"/>
      <c r="AF227" s="218"/>
      <c r="AG227" s="218"/>
      <c r="AH227" s="218"/>
      <c r="AI227" s="218"/>
      <c r="AJ227" s="218"/>
      <c r="AK227" s="218"/>
      <c r="AL227" s="218"/>
      <c r="AM227" s="218"/>
      <c r="AN227" s="218"/>
    </row>
    <row r="228" spans="1:40">
      <c r="A228" s="9"/>
      <c r="B228" s="2"/>
      <c r="C228" s="2" t="s">
        <v>278</v>
      </c>
      <c r="D228" s="2"/>
      <c r="E228" s="2"/>
      <c r="F228" s="2"/>
      <c r="G228" s="2"/>
      <c r="H228" s="2"/>
      <c r="I228" s="2"/>
      <c r="J228" s="285"/>
      <c r="K228" s="2"/>
      <c r="L228" s="218"/>
      <c r="M228" s="218"/>
      <c r="N228" s="218"/>
      <c r="O228" s="218"/>
      <c r="P228" s="218"/>
      <c r="Q228" s="218"/>
      <c r="R228" s="218"/>
      <c r="S228" s="218"/>
      <c r="T228" s="218"/>
      <c r="U228" s="218"/>
      <c r="V228" s="218"/>
      <c r="W228" s="218"/>
      <c r="X228" s="218"/>
      <c r="Y228" s="218"/>
      <c r="Z228" s="218"/>
      <c r="AA228" s="218"/>
      <c r="AB228" s="218"/>
      <c r="AC228" s="218"/>
      <c r="AD228" s="218"/>
      <c r="AE228" s="218"/>
      <c r="AF228" s="218"/>
      <c r="AG228" s="218"/>
      <c r="AH228" s="218"/>
      <c r="AI228" s="218"/>
      <c r="AJ228" s="218"/>
      <c r="AK228" s="218"/>
      <c r="AL228" s="218"/>
      <c r="AM228" s="218"/>
      <c r="AN228" s="218"/>
    </row>
    <row r="229" spans="1:40">
      <c r="A229" s="9"/>
      <c r="B229" s="2"/>
      <c r="C229" s="2" t="s">
        <v>279</v>
      </c>
      <c r="D229" s="2"/>
      <c r="E229" s="2"/>
      <c r="F229" s="2"/>
      <c r="G229" s="2"/>
      <c r="H229" s="2"/>
      <c r="I229" s="2"/>
      <c r="J229" s="2"/>
      <c r="K229" s="2"/>
      <c r="L229" s="218"/>
      <c r="M229" s="218"/>
      <c r="N229" s="218"/>
      <c r="O229" s="218"/>
      <c r="P229" s="218"/>
      <c r="Q229" s="218"/>
      <c r="R229" s="218"/>
      <c r="S229" s="218"/>
      <c r="T229" s="218"/>
      <c r="U229" s="218"/>
      <c r="V229" s="218"/>
      <c r="W229" s="218"/>
      <c r="X229" s="218"/>
      <c r="Y229" s="218"/>
      <c r="Z229" s="218"/>
      <c r="AA229" s="218"/>
      <c r="AB229" s="218"/>
      <c r="AC229" s="218"/>
      <c r="AD229" s="218"/>
      <c r="AE229" s="218"/>
      <c r="AF229" s="218"/>
      <c r="AG229" s="218"/>
      <c r="AH229" s="218"/>
      <c r="AI229" s="218"/>
      <c r="AJ229" s="218"/>
      <c r="AK229" s="218"/>
      <c r="AL229" s="218"/>
      <c r="AM229" s="218"/>
      <c r="AN229" s="218"/>
    </row>
    <row r="230" spans="1:40">
      <c r="A230" s="9"/>
      <c r="B230" s="2"/>
      <c r="C230" s="2" t="s">
        <v>280</v>
      </c>
      <c r="D230" s="2"/>
      <c r="E230" s="2"/>
      <c r="F230" s="2"/>
      <c r="G230" s="2"/>
      <c r="H230" s="2"/>
      <c r="I230" s="2"/>
      <c r="J230" s="2"/>
      <c r="K230" s="2"/>
      <c r="L230" s="218"/>
      <c r="M230" s="218"/>
      <c r="N230" s="218"/>
      <c r="O230" s="218"/>
      <c r="P230" s="218"/>
      <c r="Q230" s="218"/>
      <c r="R230" s="218"/>
      <c r="S230" s="218"/>
      <c r="T230" s="218"/>
      <c r="U230" s="218"/>
      <c r="V230" s="218"/>
      <c r="W230" s="218"/>
      <c r="X230" s="218"/>
      <c r="Y230" s="218"/>
      <c r="Z230" s="218"/>
      <c r="AA230" s="218"/>
      <c r="AB230" s="218"/>
      <c r="AC230" s="218"/>
      <c r="AD230" s="218"/>
      <c r="AE230" s="218"/>
      <c r="AF230" s="218"/>
      <c r="AG230" s="218"/>
      <c r="AH230" s="218"/>
      <c r="AI230" s="218"/>
      <c r="AJ230" s="218"/>
      <c r="AK230" s="218"/>
      <c r="AL230" s="218"/>
      <c r="AM230" s="218"/>
      <c r="AN230" s="218"/>
    </row>
    <row r="231" spans="1:40">
      <c r="A231" s="9"/>
      <c r="B231" s="2"/>
      <c r="C231" s="2" t="s">
        <v>113</v>
      </c>
      <c r="D231" s="2"/>
      <c r="E231" s="2"/>
      <c r="F231" s="2"/>
      <c r="G231" s="2"/>
      <c r="H231" s="2"/>
      <c r="I231" s="2"/>
      <c r="J231" s="2"/>
      <c r="K231" s="2"/>
      <c r="L231" s="218"/>
      <c r="M231" s="218"/>
      <c r="N231" s="218"/>
      <c r="O231" s="218"/>
      <c r="P231" s="218"/>
      <c r="Q231" s="218"/>
      <c r="R231" s="218"/>
      <c r="S231" s="218"/>
      <c r="T231" s="218"/>
      <c r="U231" s="218"/>
      <c r="V231" s="218"/>
      <c r="W231" s="218"/>
      <c r="X231" s="218"/>
      <c r="Y231" s="218"/>
      <c r="Z231" s="218"/>
      <c r="AA231" s="218"/>
      <c r="AB231" s="218"/>
      <c r="AC231" s="218"/>
      <c r="AD231" s="218"/>
      <c r="AE231" s="218"/>
      <c r="AF231" s="218"/>
      <c r="AG231" s="218"/>
      <c r="AH231" s="218"/>
      <c r="AI231" s="218"/>
      <c r="AJ231" s="218"/>
      <c r="AK231" s="218"/>
      <c r="AL231" s="218"/>
      <c r="AM231" s="218"/>
      <c r="AN231" s="218"/>
    </row>
    <row r="232" spans="1:40">
      <c r="A232" s="9" t="s">
        <v>194</v>
      </c>
      <c r="B232" s="2"/>
      <c r="C232" s="2" t="s">
        <v>288</v>
      </c>
      <c r="D232" s="2" t="s">
        <v>281</v>
      </c>
      <c r="E232" s="286">
        <v>0.21</v>
      </c>
      <c r="F232" s="2"/>
      <c r="G232" s="2"/>
      <c r="H232" s="2"/>
      <c r="I232" s="2"/>
      <c r="J232" s="2"/>
      <c r="K232" s="2"/>
      <c r="L232" s="218"/>
      <c r="M232" s="218"/>
      <c r="N232" s="218"/>
      <c r="O232" s="218"/>
      <c r="P232" s="218"/>
      <c r="Q232" s="218"/>
      <c r="R232" s="218"/>
      <c r="S232" s="218"/>
      <c r="T232" s="218"/>
      <c r="U232" s="218"/>
      <c r="V232" s="218"/>
      <c r="W232" s="218"/>
      <c r="X232" s="218"/>
      <c r="Y232" s="218"/>
      <c r="Z232" s="218"/>
      <c r="AA232" s="218"/>
      <c r="AB232" s="218"/>
      <c r="AC232" s="218"/>
      <c r="AD232" s="218"/>
      <c r="AE232" s="218"/>
      <c r="AF232" s="218"/>
      <c r="AG232" s="218"/>
      <c r="AH232" s="218"/>
      <c r="AI232" s="218"/>
      <c r="AJ232" s="218"/>
      <c r="AK232" s="218"/>
      <c r="AL232" s="218"/>
      <c r="AM232" s="218"/>
      <c r="AN232" s="218"/>
    </row>
    <row r="233" spans="1:40">
      <c r="A233" s="9"/>
      <c r="B233" s="2"/>
      <c r="C233" s="2"/>
      <c r="D233" s="2" t="s">
        <v>282</v>
      </c>
      <c r="E233" s="286">
        <v>0</v>
      </c>
      <c r="F233" s="2" t="s">
        <v>283</v>
      </c>
      <c r="G233" s="2"/>
      <c r="H233" s="2"/>
      <c r="I233" s="2"/>
      <c r="J233" s="2"/>
      <c r="K233" s="2"/>
      <c r="L233" s="218"/>
      <c r="M233" s="218"/>
      <c r="N233" s="218"/>
      <c r="O233" s="218"/>
      <c r="P233" s="218"/>
      <c r="Q233" s="218"/>
      <c r="R233" s="218"/>
      <c r="S233" s="218"/>
      <c r="T233" s="218"/>
      <c r="U233" s="218"/>
      <c r="V233" s="218"/>
      <c r="W233" s="218"/>
      <c r="X233" s="218"/>
      <c r="Y233" s="218"/>
      <c r="Z233" s="218"/>
      <c r="AA233" s="218"/>
      <c r="AB233" s="218"/>
      <c r="AC233" s="218"/>
      <c r="AD233" s="218"/>
      <c r="AE233" s="218"/>
      <c r="AF233" s="218"/>
      <c r="AG233" s="218"/>
      <c r="AH233" s="218"/>
      <c r="AI233" s="218"/>
      <c r="AJ233" s="218"/>
      <c r="AK233" s="218"/>
      <c r="AL233" s="218"/>
      <c r="AM233" s="218"/>
      <c r="AN233" s="218"/>
    </row>
    <row r="234" spans="1:40">
      <c r="A234" s="9"/>
      <c r="B234" s="2"/>
      <c r="C234" s="2"/>
      <c r="D234" s="2" t="s">
        <v>284</v>
      </c>
      <c r="E234" s="286">
        <v>0</v>
      </c>
      <c r="F234" s="2" t="s">
        <v>285</v>
      </c>
      <c r="G234" s="2"/>
      <c r="H234" s="2"/>
      <c r="I234" s="2"/>
      <c r="J234" s="2"/>
      <c r="K234" s="2"/>
      <c r="L234" s="218"/>
      <c r="M234" s="218"/>
      <c r="N234" s="218"/>
      <c r="O234" s="218"/>
      <c r="P234" s="218"/>
      <c r="Q234" s="218"/>
      <c r="R234" s="218"/>
      <c r="S234" s="218"/>
      <c r="T234" s="218"/>
      <c r="U234" s="218"/>
      <c r="V234" s="218"/>
      <c r="W234" s="218"/>
      <c r="X234" s="218"/>
      <c r="Y234" s="218"/>
      <c r="Z234" s="218"/>
      <c r="AA234" s="218"/>
      <c r="AB234" s="218"/>
      <c r="AC234" s="218"/>
      <c r="AD234" s="218"/>
      <c r="AE234" s="218"/>
      <c r="AF234" s="218"/>
      <c r="AG234" s="218"/>
      <c r="AH234" s="218"/>
      <c r="AI234" s="218"/>
      <c r="AJ234" s="218"/>
      <c r="AK234" s="218"/>
      <c r="AL234" s="218"/>
      <c r="AM234" s="218"/>
      <c r="AN234" s="218"/>
    </row>
    <row r="235" spans="1:40">
      <c r="A235" s="287" t="s">
        <v>266</v>
      </c>
      <c r="B235" s="3"/>
      <c r="C235" s="3" t="s">
        <v>72</v>
      </c>
      <c r="D235" s="3"/>
      <c r="E235" s="3"/>
      <c r="F235" s="3"/>
      <c r="G235" s="3"/>
      <c r="H235" s="3"/>
      <c r="I235" s="3"/>
      <c r="J235" s="3"/>
      <c r="K235" s="3"/>
    </row>
    <row r="236" spans="1:40">
      <c r="C236" s="96" t="s">
        <v>71</v>
      </c>
    </row>
    <row r="237" spans="1:40">
      <c r="A237" s="288" t="s">
        <v>267</v>
      </c>
      <c r="C237" s="96" t="s">
        <v>43</v>
      </c>
    </row>
  </sheetData>
  <mergeCells count="13">
    <mergeCell ref="A4:K4"/>
    <mergeCell ref="A5:K5"/>
    <mergeCell ref="A7:K7"/>
    <mergeCell ref="A66:K66"/>
    <mergeCell ref="A67:K67"/>
    <mergeCell ref="A69:K69"/>
    <mergeCell ref="A203:K203"/>
    <mergeCell ref="A204:K204"/>
    <mergeCell ref="A206:K206"/>
    <mergeCell ref="A130:K130"/>
    <mergeCell ref="A125:K125"/>
    <mergeCell ref="A126:K126"/>
    <mergeCell ref="A128:K128"/>
  </mergeCells>
  <phoneticPr fontId="21" type="noConversion"/>
  <printOptions horizontalCentered="1"/>
  <pageMargins left="0.5" right="0.5" top="0.75" bottom="0.75" header="0.5" footer="0.5"/>
  <pageSetup scale="53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P77"/>
  <sheetViews>
    <sheetView topLeftCell="A13" zoomScaleNormal="100" zoomScalePageLayoutView="81" workbookViewId="0">
      <selection activeCell="H30" sqref="H30"/>
    </sheetView>
  </sheetViews>
  <sheetFormatPr defaultRowHeight="12.75"/>
  <cols>
    <col min="1" max="1" width="3.77734375" style="32" customWidth="1"/>
    <col min="2" max="2" width="2.5546875" style="32" customWidth="1"/>
    <col min="3" max="3" width="3" style="32" customWidth="1"/>
    <col min="4" max="4" width="2.44140625" style="32" customWidth="1"/>
    <col min="5" max="6" width="8.88671875" style="32"/>
    <col min="7" max="7" width="1.77734375" style="32" customWidth="1"/>
    <col min="8" max="11" width="8.88671875" style="32"/>
    <col min="12" max="12" width="15" style="32" customWidth="1"/>
    <col min="13" max="13" width="11.88671875" style="32" customWidth="1"/>
    <col min="14" max="14" width="10.33203125" style="32" customWidth="1"/>
    <col min="15" max="15" width="9.88671875" style="32" bestFit="1" customWidth="1"/>
    <col min="16" max="16384" width="8.88671875" style="32"/>
  </cols>
  <sheetData>
    <row r="3" spans="1:16" ht="15.75">
      <c r="B3" s="48"/>
      <c r="C3" s="48"/>
      <c r="D3" s="48"/>
      <c r="E3" s="48"/>
      <c r="F3" s="48"/>
      <c r="G3" s="48"/>
      <c r="H3" s="48"/>
      <c r="I3" s="48"/>
      <c r="J3" s="48"/>
      <c r="K3" s="48"/>
      <c r="L3" s="82"/>
      <c r="M3" s="82"/>
      <c r="N3" s="82" t="s">
        <v>418</v>
      </c>
      <c r="O3" s="205">
        <f>+'True-Up'!J1</f>
        <v>43616</v>
      </c>
      <c r="P3" s="48"/>
    </row>
    <row r="4" spans="1:16">
      <c r="L4" s="82"/>
      <c r="M4" s="82"/>
      <c r="N4" s="82" t="s">
        <v>166</v>
      </c>
      <c r="O4" s="206">
        <f>+'True-Up'!J2</f>
        <v>2018</v>
      </c>
    </row>
    <row r="5" spans="1:16" ht="15.75">
      <c r="A5" s="309" t="s">
        <v>432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</row>
    <row r="6" spans="1:16">
      <c r="A6" s="161" t="s">
        <v>196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>
      <c r="A7" s="162" t="s">
        <v>197</v>
      </c>
    </row>
    <row r="8" spans="1:16">
      <c r="A8" s="56">
        <v>1</v>
      </c>
      <c r="B8" s="63" t="s">
        <v>389</v>
      </c>
    </row>
    <row r="9" spans="1:16">
      <c r="A9" s="56">
        <f>A8+1</f>
        <v>2</v>
      </c>
    </row>
    <row r="10" spans="1:16">
      <c r="A10" s="56">
        <f t="shared" ref="A10:A74" si="0">A9+1</f>
        <v>3</v>
      </c>
      <c r="B10" s="32" t="s">
        <v>145</v>
      </c>
      <c r="D10" s="63" t="s">
        <v>390</v>
      </c>
    </row>
    <row r="11" spans="1:16">
      <c r="A11" s="56">
        <f t="shared" si="0"/>
        <v>4</v>
      </c>
      <c r="E11" s="32" t="s">
        <v>149</v>
      </c>
    </row>
    <row r="12" spans="1:16">
      <c r="A12" s="56">
        <f t="shared" si="0"/>
        <v>5</v>
      </c>
      <c r="E12" s="32" t="s">
        <v>146</v>
      </c>
    </row>
    <row r="13" spans="1:16">
      <c r="A13" s="56">
        <f t="shared" si="0"/>
        <v>6</v>
      </c>
      <c r="E13" s="32" t="s">
        <v>147</v>
      </c>
    </row>
    <row r="14" spans="1:16">
      <c r="A14" s="56">
        <f t="shared" si="0"/>
        <v>7</v>
      </c>
    </row>
    <row r="15" spans="1:16">
      <c r="A15" s="56">
        <f t="shared" si="0"/>
        <v>8</v>
      </c>
      <c r="B15" s="32" t="s">
        <v>148</v>
      </c>
      <c r="D15" s="32" t="s">
        <v>150</v>
      </c>
    </row>
    <row r="16" spans="1:16">
      <c r="A16" s="56">
        <f t="shared" si="0"/>
        <v>9</v>
      </c>
      <c r="E16" s="32" t="s">
        <v>151</v>
      </c>
    </row>
    <row r="17" spans="1:8">
      <c r="A17" s="56">
        <f t="shared" si="0"/>
        <v>10</v>
      </c>
    </row>
    <row r="18" spans="1:8">
      <c r="A18" s="56">
        <f t="shared" si="0"/>
        <v>11</v>
      </c>
      <c r="B18" s="32" t="s">
        <v>152</v>
      </c>
      <c r="D18" s="32" t="s">
        <v>153</v>
      </c>
    </row>
    <row r="19" spans="1:8">
      <c r="A19" s="56">
        <f t="shared" si="0"/>
        <v>12</v>
      </c>
    </row>
    <row r="20" spans="1:8">
      <c r="A20" s="56">
        <f t="shared" si="0"/>
        <v>13</v>
      </c>
      <c r="D20" s="32" t="s">
        <v>21</v>
      </c>
    </row>
    <row r="21" spans="1:8">
      <c r="A21" s="56">
        <f t="shared" si="0"/>
        <v>14</v>
      </c>
    </row>
    <row r="22" spans="1:8">
      <c r="A22" s="56">
        <f t="shared" si="0"/>
        <v>15</v>
      </c>
      <c r="D22" s="32" t="s">
        <v>154</v>
      </c>
      <c r="F22" s="57" t="s">
        <v>155</v>
      </c>
      <c r="G22" s="32" t="s">
        <v>19</v>
      </c>
    </row>
    <row r="23" spans="1:8">
      <c r="A23" s="56">
        <f t="shared" si="0"/>
        <v>16</v>
      </c>
      <c r="H23" s="32" t="s">
        <v>115</v>
      </c>
    </row>
    <row r="24" spans="1:8">
      <c r="A24" s="56">
        <f t="shared" si="0"/>
        <v>17</v>
      </c>
      <c r="H24" s="32" t="s">
        <v>20</v>
      </c>
    </row>
    <row r="25" spans="1:8">
      <c r="A25" s="56">
        <f t="shared" si="0"/>
        <v>18</v>
      </c>
    </row>
    <row r="26" spans="1:8">
      <c r="A26" s="56">
        <f t="shared" si="0"/>
        <v>19</v>
      </c>
      <c r="B26" s="58" t="s">
        <v>425</v>
      </c>
    </row>
    <row r="27" spans="1:8">
      <c r="A27" s="56">
        <f t="shared" si="0"/>
        <v>20</v>
      </c>
    </row>
    <row r="28" spans="1:8">
      <c r="A28" s="56">
        <f t="shared" si="0"/>
        <v>21</v>
      </c>
      <c r="E28" s="28" t="s">
        <v>187</v>
      </c>
      <c r="F28" s="28" t="s">
        <v>188</v>
      </c>
      <c r="G28" s="59" t="s">
        <v>189</v>
      </c>
    </row>
    <row r="29" spans="1:8">
      <c r="A29" s="56">
        <f t="shared" si="0"/>
        <v>22</v>
      </c>
      <c r="B29" s="60" t="s">
        <v>50</v>
      </c>
      <c r="E29" s="28"/>
      <c r="F29" s="28"/>
      <c r="G29" s="61"/>
    </row>
    <row r="30" spans="1:8">
      <c r="A30" s="56">
        <f t="shared" si="0"/>
        <v>23</v>
      </c>
      <c r="C30" s="32" t="s">
        <v>53</v>
      </c>
      <c r="E30" s="28" t="s">
        <v>191</v>
      </c>
      <c r="F30" s="83">
        <v>2010</v>
      </c>
      <c r="G30" s="64" t="s">
        <v>426</v>
      </c>
      <c r="H30" s="63"/>
    </row>
    <row r="31" spans="1:8">
      <c r="A31" s="56">
        <f t="shared" si="0"/>
        <v>24</v>
      </c>
      <c r="C31" s="32" t="s">
        <v>54</v>
      </c>
      <c r="E31" s="28" t="s">
        <v>191</v>
      </c>
      <c r="F31" s="83">
        <v>2010</v>
      </c>
      <c r="G31" s="64" t="s">
        <v>427</v>
      </c>
      <c r="H31" s="63"/>
    </row>
    <row r="32" spans="1:8">
      <c r="A32" s="56">
        <f t="shared" si="0"/>
        <v>25</v>
      </c>
      <c r="C32" s="32" t="s">
        <v>55</v>
      </c>
      <c r="E32" s="28" t="str">
        <f>+E30</f>
        <v>May</v>
      </c>
      <c r="F32" s="83">
        <v>2010</v>
      </c>
      <c r="G32" s="64" t="s">
        <v>428</v>
      </c>
      <c r="H32" s="63"/>
    </row>
    <row r="33" spans="1:8">
      <c r="A33" s="56">
        <f t="shared" si="0"/>
        <v>26</v>
      </c>
      <c r="C33" s="32" t="s">
        <v>56</v>
      </c>
      <c r="E33" s="28" t="s">
        <v>51</v>
      </c>
      <c r="F33" s="83">
        <v>2010</v>
      </c>
      <c r="G33" s="64" t="s">
        <v>52</v>
      </c>
      <c r="H33" s="63"/>
    </row>
    <row r="34" spans="1:8">
      <c r="A34" s="56">
        <f t="shared" si="0"/>
        <v>27</v>
      </c>
      <c r="E34" s="28"/>
      <c r="F34" s="28"/>
      <c r="G34" s="59"/>
    </row>
    <row r="35" spans="1:8">
      <c r="A35" s="56">
        <f t="shared" si="0"/>
        <v>28</v>
      </c>
      <c r="B35" s="60" t="s">
        <v>58</v>
      </c>
      <c r="E35" s="62"/>
      <c r="F35" s="28"/>
      <c r="G35" s="59"/>
    </row>
    <row r="36" spans="1:8">
      <c r="A36" s="56">
        <f t="shared" si="0"/>
        <v>29</v>
      </c>
      <c r="C36" s="32" t="s">
        <v>57</v>
      </c>
      <c r="E36" s="28" t="s">
        <v>182</v>
      </c>
      <c r="F36" s="83">
        <v>2010</v>
      </c>
      <c r="G36" s="64" t="s">
        <v>429</v>
      </c>
      <c r="H36" s="63"/>
    </row>
    <row r="37" spans="1:8">
      <c r="A37" s="56">
        <f t="shared" si="0"/>
        <v>30</v>
      </c>
      <c r="C37" s="32" t="s">
        <v>59</v>
      </c>
      <c r="E37" s="28" t="s">
        <v>182</v>
      </c>
      <c r="F37" s="83">
        <v>2010</v>
      </c>
      <c r="G37" s="64" t="s">
        <v>430</v>
      </c>
      <c r="H37" s="63"/>
    </row>
    <row r="38" spans="1:8">
      <c r="A38" s="56">
        <f t="shared" si="0"/>
        <v>31</v>
      </c>
      <c r="C38" s="32" t="s">
        <v>60</v>
      </c>
      <c r="E38" s="28" t="s">
        <v>182</v>
      </c>
      <c r="F38" s="83">
        <v>2010</v>
      </c>
      <c r="G38" s="64" t="s">
        <v>44</v>
      </c>
      <c r="H38" s="63"/>
    </row>
    <row r="39" spans="1:8">
      <c r="A39" s="56">
        <f t="shared" si="0"/>
        <v>32</v>
      </c>
      <c r="C39" s="32" t="s">
        <v>61</v>
      </c>
      <c r="E39" s="28" t="s">
        <v>182</v>
      </c>
      <c r="F39" s="83">
        <v>2010</v>
      </c>
      <c r="G39" s="64" t="s">
        <v>63</v>
      </c>
      <c r="H39" s="63"/>
    </row>
    <row r="40" spans="1:8">
      <c r="A40" s="56">
        <f t="shared" si="0"/>
        <v>33</v>
      </c>
      <c r="C40" s="32" t="s">
        <v>62</v>
      </c>
      <c r="E40" s="28" t="s">
        <v>157</v>
      </c>
      <c r="F40" s="83">
        <v>2010</v>
      </c>
      <c r="G40" s="64" t="s">
        <v>24</v>
      </c>
      <c r="H40" s="63"/>
    </row>
    <row r="41" spans="1:8">
      <c r="A41" s="56">
        <f t="shared" si="0"/>
        <v>34</v>
      </c>
      <c r="C41" s="32" t="s">
        <v>23</v>
      </c>
      <c r="E41" s="62" t="s">
        <v>159</v>
      </c>
      <c r="F41" s="83">
        <v>2011</v>
      </c>
      <c r="G41" s="64" t="s">
        <v>64</v>
      </c>
      <c r="H41" s="63"/>
    </row>
    <row r="42" spans="1:8">
      <c r="A42" s="56">
        <f t="shared" si="0"/>
        <v>35</v>
      </c>
    </row>
    <row r="43" spans="1:8">
      <c r="A43" s="56">
        <f t="shared" si="0"/>
        <v>36</v>
      </c>
      <c r="E43" s="32" t="s">
        <v>160</v>
      </c>
      <c r="F43" s="32" t="s">
        <v>161</v>
      </c>
    </row>
    <row r="44" spans="1:8">
      <c r="A44" s="56">
        <f t="shared" si="0"/>
        <v>37</v>
      </c>
      <c r="F44" s="32" t="s">
        <v>162</v>
      </c>
    </row>
    <row r="45" spans="1:8">
      <c r="A45" s="56">
        <f t="shared" si="0"/>
        <v>38</v>
      </c>
      <c r="F45" s="32" t="s">
        <v>163</v>
      </c>
    </row>
    <row r="46" spans="1:8">
      <c r="A46" s="56">
        <f t="shared" si="0"/>
        <v>39</v>
      </c>
      <c r="F46" s="32" t="s">
        <v>116</v>
      </c>
    </row>
    <row r="47" spans="1:8">
      <c r="A47" s="56">
        <f t="shared" si="0"/>
        <v>40</v>
      </c>
      <c r="F47" s="32" t="s">
        <v>174</v>
      </c>
    </row>
    <row r="48" spans="1:8">
      <c r="A48" s="56">
        <f t="shared" si="0"/>
        <v>41</v>
      </c>
      <c r="F48" s="32" t="s">
        <v>175</v>
      </c>
    </row>
    <row r="49" spans="1:15">
      <c r="A49" s="56">
        <f t="shared" si="0"/>
        <v>42</v>
      </c>
    </row>
    <row r="50" spans="1:15">
      <c r="A50" s="56">
        <f t="shared" si="0"/>
        <v>43</v>
      </c>
      <c r="F50" s="63" t="s">
        <v>388</v>
      </c>
    </row>
    <row r="51" spans="1:15">
      <c r="A51" s="56">
        <f t="shared" si="0"/>
        <v>44</v>
      </c>
      <c r="D51" s="60"/>
      <c r="E51" s="60"/>
      <c r="F51" s="60"/>
      <c r="G51" s="60"/>
      <c r="H51" s="60"/>
      <c r="I51" s="60"/>
      <c r="J51" s="60"/>
      <c r="K51" s="60"/>
      <c r="L51" s="60"/>
      <c r="M51" s="60" t="s">
        <v>207</v>
      </c>
      <c r="N51" s="60" t="s">
        <v>296</v>
      </c>
      <c r="O51" s="63"/>
    </row>
    <row r="52" spans="1:15">
      <c r="A52" s="56">
        <f t="shared" si="0"/>
        <v>45</v>
      </c>
      <c r="C52" s="32" t="s">
        <v>258</v>
      </c>
      <c r="D52" s="60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60"/>
      <c r="F52" s="60"/>
      <c r="G52" s="60"/>
      <c r="H52" s="60"/>
      <c r="I52" s="60"/>
      <c r="J52" s="60"/>
      <c r="K52" s="60"/>
      <c r="L52" s="60"/>
      <c r="M52" s="71">
        <f>+'True-Up'!J119</f>
        <v>1199825.6211946979</v>
      </c>
      <c r="N52" s="71">
        <f>+'BHP Sch. 1'!D22</f>
        <v>-252540</v>
      </c>
      <c r="O52" s="207"/>
    </row>
    <row r="53" spans="1:15">
      <c r="A53" s="56">
        <f t="shared" si="0"/>
        <v>46</v>
      </c>
      <c r="C53" s="32" t="s">
        <v>259</v>
      </c>
      <c r="D53" s="60" t="s">
        <v>45</v>
      </c>
      <c r="E53" s="60"/>
      <c r="F53" s="60"/>
      <c r="G53" s="60"/>
      <c r="H53" s="60"/>
      <c r="I53" s="60"/>
      <c r="J53" s="60"/>
      <c r="K53" s="208"/>
      <c r="L53" s="60"/>
      <c r="M53" s="209">
        <f>ROUND((1+$K$77)^18,2)</f>
        <v>1.07</v>
      </c>
      <c r="N53" s="209">
        <f>ROUND((1+$K$77)^18,2)</f>
        <v>1.07</v>
      </c>
      <c r="O53" s="207"/>
    </row>
    <row r="54" spans="1:15">
      <c r="A54" s="56">
        <f t="shared" si="0"/>
        <v>47</v>
      </c>
      <c r="C54" s="32" t="s">
        <v>260</v>
      </c>
      <c r="D54" s="60" t="s">
        <v>431</v>
      </c>
      <c r="E54" s="60"/>
      <c r="F54" s="60"/>
      <c r="G54" s="60"/>
      <c r="H54" s="60"/>
      <c r="I54" s="60"/>
      <c r="J54" s="60"/>
      <c r="K54" s="208"/>
      <c r="L54" s="60"/>
      <c r="M54" s="210">
        <f>+M52*M53</f>
        <v>1283813.4146783268</v>
      </c>
      <c r="N54" s="210">
        <f>+N52*N53</f>
        <v>-270217.8</v>
      </c>
      <c r="O54" s="207"/>
    </row>
    <row r="55" spans="1:15">
      <c r="A55" s="56">
        <f t="shared" si="0"/>
        <v>48</v>
      </c>
      <c r="K55" s="211"/>
      <c r="O55" s="211"/>
    </row>
    <row r="56" spans="1:15">
      <c r="A56" s="56">
        <f t="shared" si="0"/>
        <v>49</v>
      </c>
      <c r="E56" s="32" t="s">
        <v>154</v>
      </c>
      <c r="F56" s="32" t="s">
        <v>176</v>
      </c>
      <c r="K56" s="211"/>
      <c r="M56" s="63"/>
      <c r="O56" s="211"/>
    </row>
    <row r="57" spans="1:15">
      <c r="A57" s="56">
        <f t="shared" si="0"/>
        <v>50</v>
      </c>
      <c r="K57" s="211"/>
      <c r="N57" s="211"/>
      <c r="O57" s="211"/>
    </row>
    <row r="58" spans="1:15">
      <c r="A58" s="56">
        <f t="shared" si="0"/>
        <v>51</v>
      </c>
      <c r="D58" s="211" t="s">
        <v>177</v>
      </c>
      <c r="E58" s="211"/>
      <c r="F58" s="211"/>
      <c r="G58" s="211"/>
      <c r="H58" s="211"/>
      <c r="I58" s="211"/>
      <c r="J58" s="211"/>
      <c r="K58" s="211"/>
    </row>
    <row r="59" spans="1:15">
      <c r="A59" s="56">
        <f t="shared" si="0"/>
        <v>52</v>
      </c>
      <c r="D59" s="211"/>
      <c r="E59" s="211"/>
      <c r="F59" s="211"/>
      <c r="G59" s="211"/>
      <c r="H59" s="211"/>
      <c r="I59" s="211"/>
      <c r="J59" s="211"/>
      <c r="K59" s="35" t="s">
        <v>11</v>
      </c>
    </row>
    <row r="60" spans="1:15">
      <c r="A60" s="56">
        <f t="shared" si="0"/>
        <v>53</v>
      </c>
      <c r="D60" s="211"/>
      <c r="E60" s="212" t="s">
        <v>187</v>
      </c>
      <c r="F60" s="35"/>
      <c r="G60" s="35"/>
      <c r="H60" s="212" t="s">
        <v>188</v>
      </c>
      <c r="I60" s="213"/>
      <c r="J60" s="211"/>
      <c r="K60" s="212" t="s">
        <v>178</v>
      </c>
    </row>
    <row r="61" spans="1:15">
      <c r="A61" s="56">
        <f t="shared" si="0"/>
        <v>54</v>
      </c>
      <c r="E61" s="32" t="s">
        <v>159</v>
      </c>
      <c r="H61" s="32" t="s">
        <v>185</v>
      </c>
      <c r="K61" s="214">
        <v>3.5999999999999999E-3</v>
      </c>
    </row>
    <row r="62" spans="1:15">
      <c r="A62" s="56">
        <f t="shared" si="0"/>
        <v>55</v>
      </c>
      <c r="E62" s="32" t="s">
        <v>179</v>
      </c>
      <c r="H62" s="32" t="s">
        <v>185</v>
      </c>
      <c r="K62" s="214">
        <v>3.3E-3</v>
      </c>
    </row>
    <row r="63" spans="1:15">
      <c r="A63" s="56">
        <f t="shared" si="0"/>
        <v>56</v>
      </c>
      <c r="E63" s="32" t="s">
        <v>180</v>
      </c>
      <c r="H63" s="32" t="s">
        <v>185</v>
      </c>
      <c r="K63" s="214">
        <v>3.5999999999999999E-3</v>
      </c>
    </row>
    <row r="64" spans="1:15">
      <c r="A64" s="56">
        <f t="shared" si="0"/>
        <v>57</v>
      </c>
      <c r="E64" s="32" t="s">
        <v>190</v>
      </c>
      <c r="H64" s="32" t="s">
        <v>185</v>
      </c>
      <c r="K64" s="214">
        <v>3.7000000000000002E-3</v>
      </c>
    </row>
    <row r="65" spans="1:11">
      <c r="A65" s="56">
        <f t="shared" si="0"/>
        <v>58</v>
      </c>
      <c r="E65" s="32" t="s">
        <v>191</v>
      </c>
      <c r="H65" s="32" t="s">
        <v>185</v>
      </c>
      <c r="K65" s="214">
        <v>3.8E-3</v>
      </c>
    </row>
    <row r="66" spans="1:11">
      <c r="A66" s="56">
        <f t="shared" si="0"/>
        <v>59</v>
      </c>
      <c r="E66" s="32" t="s">
        <v>192</v>
      </c>
      <c r="H66" s="32" t="s">
        <v>185</v>
      </c>
      <c r="K66" s="214">
        <v>3.7000000000000002E-3</v>
      </c>
    </row>
    <row r="67" spans="1:11">
      <c r="A67" s="56">
        <f t="shared" si="0"/>
        <v>60</v>
      </c>
      <c r="E67" s="32" t="s">
        <v>181</v>
      </c>
      <c r="H67" s="32" t="s">
        <v>185</v>
      </c>
      <c r="K67" s="214">
        <v>4.0000000000000001E-3</v>
      </c>
    </row>
    <row r="68" spans="1:11">
      <c r="A68" s="56">
        <f t="shared" si="0"/>
        <v>61</v>
      </c>
      <c r="E68" s="32" t="s">
        <v>156</v>
      </c>
      <c r="H68" s="32" t="s">
        <v>185</v>
      </c>
      <c r="K68" s="214">
        <v>4.0000000000000001E-3</v>
      </c>
    </row>
    <row r="69" spans="1:11">
      <c r="A69" s="56">
        <f t="shared" si="0"/>
        <v>62</v>
      </c>
      <c r="E69" s="32" t="s">
        <v>182</v>
      </c>
      <c r="H69" s="32" t="s">
        <v>185</v>
      </c>
      <c r="K69" s="214">
        <v>3.8999999999999998E-3</v>
      </c>
    </row>
    <row r="70" spans="1:11">
      <c r="A70" s="56">
        <f t="shared" si="0"/>
        <v>63</v>
      </c>
      <c r="E70" s="32" t="s">
        <v>157</v>
      </c>
      <c r="H70" s="32" t="s">
        <v>185</v>
      </c>
      <c r="K70" s="214">
        <v>4.1999999999999997E-3</v>
      </c>
    </row>
    <row r="71" spans="1:11">
      <c r="A71" s="56">
        <f t="shared" si="0"/>
        <v>64</v>
      </c>
      <c r="E71" s="32" t="s">
        <v>158</v>
      </c>
      <c r="H71" s="32" t="s">
        <v>185</v>
      </c>
      <c r="K71" s="214">
        <v>4.1000000000000003E-3</v>
      </c>
    </row>
    <row r="72" spans="1:11">
      <c r="A72" s="56">
        <f t="shared" si="0"/>
        <v>65</v>
      </c>
      <c r="E72" s="32" t="s">
        <v>183</v>
      </c>
      <c r="H72" s="32" t="s">
        <v>185</v>
      </c>
      <c r="K72" s="214">
        <v>4.1999999999999997E-3</v>
      </c>
    </row>
    <row r="73" spans="1:11">
      <c r="A73" s="56">
        <f t="shared" si="0"/>
        <v>66</v>
      </c>
      <c r="E73" s="32" t="s">
        <v>159</v>
      </c>
      <c r="H73" s="32" t="s">
        <v>186</v>
      </c>
      <c r="K73" s="214">
        <v>4.4000000000000003E-3</v>
      </c>
    </row>
    <row r="74" spans="1:11">
      <c r="A74" s="56">
        <f t="shared" si="0"/>
        <v>67</v>
      </c>
      <c r="E74" s="32" t="s">
        <v>179</v>
      </c>
      <c r="H74" s="32" t="s">
        <v>186</v>
      </c>
      <c r="K74" s="214">
        <v>4.0000000000000001E-3</v>
      </c>
    </row>
    <row r="75" spans="1:11">
      <c r="A75" s="56">
        <f>A74+1</f>
        <v>68</v>
      </c>
      <c r="E75" s="32" t="s">
        <v>180</v>
      </c>
      <c r="H75" s="32" t="s">
        <v>186</v>
      </c>
      <c r="K75" s="214">
        <v>4.4000000000000003E-3</v>
      </c>
    </row>
    <row r="76" spans="1:11">
      <c r="A76" s="56">
        <f>A75+1</f>
        <v>69</v>
      </c>
      <c r="E76" s="32" t="s">
        <v>190</v>
      </c>
      <c r="H76" s="32" t="s">
        <v>186</v>
      </c>
      <c r="K76" s="214">
        <v>4.4999999999999997E-3</v>
      </c>
    </row>
    <row r="77" spans="1:11">
      <c r="A77" s="56">
        <f>A76+1</f>
        <v>70</v>
      </c>
      <c r="F77" s="32" t="s">
        <v>184</v>
      </c>
      <c r="K77" s="215">
        <f>ROUND(AVERAGE(K61:K76),6)</f>
        <v>3.9630000000000004E-3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H34"/>
  <sheetViews>
    <sheetView zoomScaleNormal="100" workbookViewId="0">
      <selection activeCell="H30" sqref="H30"/>
    </sheetView>
  </sheetViews>
  <sheetFormatPr defaultColWidth="7.109375" defaultRowHeight="12.75"/>
  <cols>
    <col min="1" max="1" width="10.21875" style="5" customWidth="1"/>
    <col min="2" max="2" width="3.5546875" style="5" customWidth="1"/>
    <col min="3" max="4" width="1.77734375" style="5" customWidth="1"/>
    <col min="5" max="5" width="4" style="5" customWidth="1"/>
    <col min="6" max="6" width="24.21875" style="5" customWidth="1"/>
    <col min="7" max="7" width="1.88671875" style="5" customWidth="1"/>
    <col min="8" max="8" width="8.21875" style="196" customWidth="1"/>
    <col min="9" max="9" width="8.21875" style="5" customWidth="1"/>
    <col min="10" max="16384" width="7.109375" style="5"/>
  </cols>
  <sheetData>
    <row r="3" spans="1:8">
      <c r="F3" s="34"/>
    </row>
    <row r="4" spans="1:8">
      <c r="A4" s="310" t="s">
        <v>433</v>
      </c>
      <c r="B4" s="310"/>
      <c r="C4" s="310"/>
      <c r="D4" s="310"/>
      <c r="E4" s="310"/>
      <c r="F4" s="310"/>
      <c r="G4" s="310"/>
      <c r="H4" s="310"/>
    </row>
    <row r="5" spans="1:8">
      <c r="B5" s="197" t="s">
        <v>196</v>
      </c>
      <c r="H5" s="198" t="s">
        <v>417</v>
      </c>
    </row>
    <row r="6" spans="1:8">
      <c r="B6" s="199" t="s">
        <v>197</v>
      </c>
      <c r="D6" s="200" t="s">
        <v>342</v>
      </c>
      <c r="E6" s="200"/>
      <c r="F6" s="200"/>
      <c r="H6" s="201" t="s">
        <v>172</v>
      </c>
    </row>
    <row r="7" spans="1:8">
      <c r="B7" s="81">
        <v>1</v>
      </c>
    </row>
    <row r="8" spans="1:8">
      <c r="B8" s="81">
        <v>2</v>
      </c>
      <c r="D8" s="202" t="s">
        <v>111</v>
      </c>
      <c r="E8" s="202"/>
    </row>
    <row r="9" spans="1:8">
      <c r="B9" s="81">
        <v>3</v>
      </c>
    </row>
    <row r="10" spans="1:8">
      <c r="B10" s="81">
        <v>4</v>
      </c>
      <c r="E10" s="5">
        <v>350</v>
      </c>
      <c r="F10" s="43" t="s">
        <v>343</v>
      </c>
      <c r="H10" s="85">
        <v>0</v>
      </c>
    </row>
    <row r="11" spans="1:8">
      <c r="B11" s="81">
        <v>5</v>
      </c>
      <c r="E11" s="5">
        <v>352</v>
      </c>
      <c r="F11" s="43" t="s">
        <v>344</v>
      </c>
      <c r="H11" s="85">
        <v>2.3900000000000001E-2</v>
      </c>
    </row>
    <row r="12" spans="1:8">
      <c r="B12" s="81">
        <v>6</v>
      </c>
      <c r="E12" s="5">
        <v>353</v>
      </c>
      <c r="F12" s="43" t="s">
        <v>345</v>
      </c>
      <c r="H12" s="85">
        <v>2.6599999999999999E-2</v>
      </c>
    </row>
    <row r="13" spans="1:8">
      <c r="B13" s="81">
        <v>7</v>
      </c>
      <c r="E13" s="5">
        <v>354</v>
      </c>
      <c r="F13" s="43" t="s">
        <v>346</v>
      </c>
      <c r="H13" s="85">
        <v>2.0400000000000001E-2</v>
      </c>
    </row>
    <row r="14" spans="1:8">
      <c r="B14" s="81">
        <v>8</v>
      </c>
      <c r="E14" s="5">
        <v>355</v>
      </c>
      <c r="F14" s="43" t="s">
        <v>347</v>
      </c>
      <c r="H14" s="85">
        <v>2.2200000000000001E-2</v>
      </c>
    </row>
    <row r="15" spans="1:8">
      <c r="B15" s="81">
        <v>9</v>
      </c>
      <c r="E15" s="5">
        <v>356</v>
      </c>
      <c r="F15" s="43" t="s">
        <v>348</v>
      </c>
      <c r="H15" s="85">
        <v>2.0400000000000001E-2</v>
      </c>
    </row>
    <row r="16" spans="1:8">
      <c r="B16" s="81">
        <v>10</v>
      </c>
      <c r="E16" s="5">
        <v>359</v>
      </c>
      <c r="F16" s="43" t="s">
        <v>349</v>
      </c>
      <c r="H16" s="85">
        <v>1.95E-2</v>
      </c>
    </row>
    <row r="17" spans="2:8">
      <c r="B17" s="81">
        <v>11</v>
      </c>
      <c r="F17" s="43" t="s">
        <v>4</v>
      </c>
      <c r="H17" s="85">
        <v>2.3199999999999998E-2</v>
      </c>
    </row>
    <row r="18" spans="2:8">
      <c r="B18" s="81">
        <v>12</v>
      </c>
      <c r="H18" s="85"/>
    </row>
    <row r="19" spans="2:8">
      <c r="B19" s="81">
        <v>13</v>
      </c>
      <c r="D19" s="202" t="s">
        <v>100</v>
      </c>
      <c r="H19" s="85"/>
    </row>
    <row r="20" spans="2:8">
      <c r="B20" s="81">
        <v>14</v>
      </c>
      <c r="H20" s="85"/>
    </row>
    <row r="21" spans="2:8">
      <c r="B21" s="81">
        <v>15</v>
      </c>
      <c r="E21" s="5">
        <v>389</v>
      </c>
      <c r="F21" s="203" t="s">
        <v>343</v>
      </c>
      <c r="H21" s="85">
        <v>0</v>
      </c>
    </row>
    <row r="22" spans="2:8">
      <c r="B22" s="81">
        <v>16</v>
      </c>
      <c r="E22" s="5">
        <v>390</v>
      </c>
      <c r="F22" s="43" t="s">
        <v>344</v>
      </c>
      <c r="H22" s="85">
        <v>4.7300000000000002E-2</v>
      </c>
    </row>
    <row r="23" spans="2:8">
      <c r="B23" s="81">
        <v>17</v>
      </c>
      <c r="E23" s="5">
        <v>391</v>
      </c>
      <c r="F23" s="43" t="s">
        <v>350</v>
      </c>
      <c r="H23" s="85">
        <v>0.1056</v>
      </c>
    </row>
    <row r="24" spans="2:8">
      <c r="B24" s="81">
        <v>18</v>
      </c>
      <c r="E24" s="5">
        <v>392</v>
      </c>
      <c r="F24" s="43" t="s">
        <v>351</v>
      </c>
      <c r="H24" s="85">
        <v>9.06E-2</v>
      </c>
    </row>
    <row r="25" spans="2:8">
      <c r="B25" s="81">
        <v>19</v>
      </c>
      <c r="E25" s="5">
        <v>393</v>
      </c>
      <c r="F25" s="43" t="s">
        <v>352</v>
      </c>
      <c r="H25" s="85">
        <v>4.2299999999999997E-2</v>
      </c>
    </row>
    <row r="26" spans="2:8">
      <c r="B26" s="81">
        <v>20</v>
      </c>
      <c r="E26" s="5">
        <v>394</v>
      </c>
      <c r="F26" s="43" t="s">
        <v>13</v>
      </c>
      <c r="H26" s="85">
        <v>4.2299999999999997E-2</v>
      </c>
    </row>
    <row r="27" spans="2:8">
      <c r="B27" s="81">
        <v>21</v>
      </c>
      <c r="E27" s="5">
        <v>395</v>
      </c>
      <c r="F27" s="43" t="s">
        <v>353</v>
      </c>
      <c r="H27" s="85">
        <v>3.0599999999999999E-2</v>
      </c>
    </row>
    <row r="28" spans="2:8">
      <c r="B28" s="81">
        <v>22</v>
      </c>
      <c r="E28" s="5">
        <v>396</v>
      </c>
      <c r="F28" s="43" t="s">
        <v>354</v>
      </c>
      <c r="H28" s="85">
        <v>4.2299999999999997E-2</v>
      </c>
    </row>
    <row r="29" spans="2:8">
      <c r="B29" s="81">
        <v>23</v>
      </c>
      <c r="E29" s="5">
        <v>397</v>
      </c>
      <c r="F29" s="43" t="s">
        <v>355</v>
      </c>
      <c r="H29" s="85">
        <v>4.3900000000000002E-2</v>
      </c>
    </row>
    <row r="30" spans="2:8">
      <c r="B30" s="81">
        <v>24</v>
      </c>
      <c r="E30" s="5">
        <v>398</v>
      </c>
      <c r="F30" s="43" t="s">
        <v>356</v>
      </c>
      <c r="H30" s="85">
        <v>5.8099999999999999E-2</v>
      </c>
    </row>
    <row r="31" spans="2:8">
      <c r="B31" s="81">
        <v>25</v>
      </c>
      <c r="F31" s="43" t="s">
        <v>12</v>
      </c>
      <c r="H31" s="85">
        <v>6.5299999999999997E-2</v>
      </c>
    </row>
    <row r="32" spans="2:8">
      <c r="B32" s="81">
        <v>26</v>
      </c>
    </row>
    <row r="33" spans="2:6">
      <c r="B33" s="81">
        <v>27</v>
      </c>
      <c r="D33" s="43" t="s">
        <v>416</v>
      </c>
      <c r="E33" s="204"/>
      <c r="F33" s="43"/>
    </row>
    <row r="34" spans="2:6">
      <c r="F34" s="43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R79"/>
  <sheetViews>
    <sheetView topLeftCell="D44" zoomScale="55" zoomScaleNormal="55" zoomScaleSheetLayoutView="85" workbookViewId="0">
      <selection activeCell="R78" activeCellId="2" sqref="R70 R74 R78"/>
    </sheetView>
  </sheetViews>
  <sheetFormatPr defaultRowHeight="15"/>
  <cols>
    <col min="1" max="1" width="6" style="76" customWidth="1"/>
    <col min="2" max="2" width="1.44140625" style="76" customWidth="1"/>
    <col min="3" max="3" width="36" style="76" customWidth="1"/>
    <col min="4" max="4" width="24.44140625" style="76" bestFit="1" customWidth="1"/>
    <col min="5" max="5" width="15.21875" style="76" customWidth="1"/>
    <col min="6" max="12" width="15.88671875" style="76" customWidth="1"/>
    <col min="13" max="13" width="14.33203125" style="76" bestFit="1" customWidth="1"/>
    <col min="14" max="15" width="15.88671875" style="76" customWidth="1"/>
    <col min="16" max="17" width="19.6640625" style="76" bestFit="1" customWidth="1"/>
    <col min="18" max="18" width="17.77734375" style="76" bestFit="1" customWidth="1"/>
    <col min="19" max="19" width="8.88671875" style="76"/>
    <col min="20" max="20" width="50.44140625" style="76" bestFit="1" customWidth="1"/>
    <col min="21" max="21" width="25.6640625" style="76" bestFit="1" customWidth="1"/>
    <col min="22" max="33" width="15.5546875" style="76" bestFit="1" customWidth="1"/>
    <col min="34" max="45" width="12" style="76" bestFit="1" customWidth="1"/>
    <col min="46" max="16384" width="8.88671875" style="76"/>
  </cols>
  <sheetData>
    <row r="2" spans="1:70" ht="15.75">
      <c r="A2" s="3"/>
      <c r="B2" s="3"/>
      <c r="C2" s="3"/>
      <c r="D2" s="48"/>
      <c r="E2" s="3"/>
      <c r="F2" s="3"/>
      <c r="G2" s="3"/>
      <c r="H2" s="3"/>
      <c r="I2" s="182" t="str">
        <f>'CU AC Rate Design - True-Up'!H1</f>
        <v>Date: May 31, 2019</v>
      </c>
      <c r="J2" s="3"/>
      <c r="K2" s="3"/>
      <c r="L2" s="3"/>
      <c r="O2" s="75"/>
      <c r="R2" s="183" t="str">
        <f>I2</f>
        <v>Date: May 31, 2019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</row>
    <row r="3" spans="1:7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5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</row>
    <row r="4" spans="1:70" ht="15" customHeight="1">
      <c r="A4" s="305" t="s">
        <v>321</v>
      </c>
      <c r="B4" s="305"/>
      <c r="C4" s="305"/>
      <c r="D4" s="305"/>
      <c r="E4" s="305"/>
      <c r="F4" s="305"/>
      <c r="G4" s="305"/>
      <c r="H4" s="305"/>
      <c r="I4" s="305"/>
      <c r="J4" s="305" t="s">
        <v>321</v>
      </c>
      <c r="K4" s="305"/>
      <c r="L4" s="305"/>
      <c r="M4" s="305"/>
      <c r="N4" s="305"/>
      <c r="O4" s="305"/>
      <c r="P4" s="305"/>
      <c r="Q4" s="305"/>
      <c r="R4" s="305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</row>
    <row r="5" spans="1:70" ht="15.75">
      <c r="A5" s="306" t="s">
        <v>195</v>
      </c>
      <c r="B5" s="306"/>
      <c r="C5" s="306"/>
      <c r="D5" s="306"/>
      <c r="E5" s="306"/>
      <c r="F5" s="306"/>
      <c r="G5" s="306"/>
      <c r="H5" s="306"/>
      <c r="I5" s="306"/>
      <c r="J5" s="306" t="s">
        <v>195</v>
      </c>
      <c r="K5" s="306"/>
      <c r="L5" s="306"/>
      <c r="M5" s="306"/>
      <c r="N5" s="306"/>
      <c r="O5" s="306"/>
      <c r="P5" s="306"/>
      <c r="Q5" s="306"/>
      <c r="R5" s="306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</row>
    <row r="6" spans="1:70">
      <c r="A6" s="3"/>
      <c r="B6" s="3"/>
      <c r="C6" s="75"/>
      <c r="D6" s="75"/>
      <c r="F6" s="75"/>
      <c r="G6" s="75"/>
      <c r="H6" s="75"/>
      <c r="I6" s="75"/>
      <c r="J6" s="3"/>
      <c r="K6" s="3"/>
      <c r="L6" s="75"/>
      <c r="M6" s="75"/>
      <c r="O6" s="75"/>
      <c r="P6" s="75"/>
      <c r="Q6" s="75"/>
      <c r="R6" s="75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</row>
    <row r="7" spans="1:70" ht="15" customHeight="1">
      <c r="A7" s="307" t="s">
        <v>320</v>
      </c>
      <c r="B7" s="307"/>
      <c r="C7" s="307"/>
      <c r="D7" s="307"/>
      <c r="E7" s="307"/>
      <c r="F7" s="307"/>
      <c r="G7" s="307"/>
      <c r="H7" s="307"/>
      <c r="I7" s="307"/>
      <c r="J7" s="307" t="s">
        <v>320</v>
      </c>
      <c r="K7" s="307"/>
      <c r="L7" s="307"/>
      <c r="M7" s="307"/>
      <c r="N7" s="307"/>
      <c r="O7" s="307"/>
      <c r="P7" s="307"/>
      <c r="Q7" s="307"/>
      <c r="R7" s="307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</row>
    <row r="8" spans="1:70">
      <c r="A8" s="9"/>
      <c r="B8" s="3"/>
      <c r="C8" s="75"/>
      <c r="D8" s="75"/>
      <c r="E8" s="186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</row>
    <row r="9" spans="1:70">
      <c r="A9" s="3"/>
      <c r="B9" s="3"/>
      <c r="C9" s="187"/>
      <c r="D9" s="187"/>
      <c r="E9" s="187"/>
      <c r="F9" s="1"/>
      <c r="G9" s="1"/>
      <c r="H9" s="1"/>
      <c r="I9" s="1"/>
      <c r="J9" s="1"/>
      <c r="K9" s="1"/>
      <c r="L9" s="187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</row>
    <row r="10" spans="1:70" ht="15.75">
      <c r="A10" s="3"/>
      <c r="B10" s="3"/>
      <c r="C10" s="97"/>
      <c r="D10" s="185" t="s">
        <v>206</v>
      </c>
      <c r="E10" s="1"/>
      <c r="F10" s="1"/>
      <c r="G10" s="1"/>
      <c r="H10" s="1"/>
      <c r="I10" s="1"/>
      <c r="J10" s="1"/>
      <c r="K10" s="1"/>
      <c r="L10" s="187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</row>
    <row r="11" spans="1:70" ht="15.75">
      <c r="A11" s="9" t="s">
        <v>196</v>
      </c>
      <c r="B11" s="3"/>
      <c r="C11" s="97"/>
      <c r="D11" s="188" t="s">
        <v>208</v>
      </c>
      <c r="E11" s="184" t="s">
        <v>209</v>
      </c>
      <c r="F11" s="189"/>
      <c r="G11" s="189"/>
      <c r="H11" s="189"/>
      <c r="I11" s="189"/>
      <c r="J11" s="189"/>
      <c r="K11" s="189"/>
      <c r="L11" s="187"/>
      <c r="O11" s="93"/>
      <c r="P11" s="93"/>
      <c r="Q11" s="190"/>
      <c r="R11" s="93"/>
      <c r="S11" s="93"/>
      <c r="T11" s="93"/>
      <c r="U11" s="93"/>
      <c r="V11" s="313"/>
      <c r="W11" s="313"/>
      <c r="X11" s="313"/>
      <c r="Y11" s="31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</row>
    <row r="12" spans="1:70" ht="16.5" thickBot="1">
      <c r="A12" s="191" t="s">
        <v>197</v>
      </c>
      <c r="B12" s="3"/>
      <c r="C12" s="192" t="s">
        <v>211</v>
      </c>
      <c r="D12" s="1"/>
      <c r="E12" s="193" t="s">
        <v>26</v>
      </c>
      <c r="F12" s="193" t="s">
        <v>27</v>
      </c>
      <c r="G12" s="193" t="s">
        <v>28</v>
      </c>
      <c r="H12" s="193" t="s">
        <v>29</v>
      </c>
      <c r="I12" s="193" t="s">
        <v>30</v>
      </c>
      <c r="J12" s="193" t="s">
        <v>31</v>
      </c>
      <c r="K12" s="193" t="s">
        <v>32</v>
      </c>
      <c r="L12" s="193" t="s">
        <v>33</v>
      </c>
      <c r="M12" s="193" t="s">
        <v>145</v>
      </c>
      <c r="N12" s="193" t="s">
        <v>34</v>
      </c>
      <c r="O12" s="193" t="s">
        <v>35</v>
      </c>
      <c r="P12" s="193" t="s">
        <v>36</v>
      </c>
      <c r="Q12" s="193" t="s">
        <v>37</v>
      </c>
      <c r="R12" s="193" t="s">
        <v>38</v>
      </c>
      <c r="S12" s="93"/>
      <c r="T12" s="93"/>
      <c r="U12" s="93"/>
      <c r="V12" s="311"/>
      <c r="W12" s="311"/>
      <c r="X12" s="311"/>
      <c r="Y12" s="311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70">
      <c r="A13" s="9"/>
      <c r="B13" s="3"/>
      <c r="C13" s="97"/>
      <c r="D13" s="1"/>
      <c r="E13" s="74">
        <v>43070</v>
      </c>
      <c r="F13" s="74">
        <v>43101</v>
      </c>
      <c r="G13" s="74">
        <v>43132</v>
      </c>
      <c r="H13" s="74">
        <v>43160</v>
      </c>
      <c r="I13" s="74">
        <v>43191</v>
      </c>
      <c r="J13" s="74">
        <v>43221</v>
      </c>
      <c r="K13" s="74">
        <v>43252</v>
      </c>
      <c r="L13" s="74">
        <v>43282</v>
      </c>
      <c r="M13" s="74">
        <v>43313</v>
      </c>
      <c r="N13" s="74">
        <v>43344</v>
      </c>
      <c r="O13" s="74">
        <v>43374</v>
      </c>
      <c r="P13" s="74">
        <v>43405</v>
      </c>
      <c r="Q13" s="74">
        <v>43435</v>
      </c>
      <c r="R13" s="19" t="s">
        <v>25</v>
      </c>
      <c r="S13" s="93"/>
      <c r="T13" s="93"/>
      <c r="U13" s="93"/>
      <c r="W13" s="194"/>
      <c r="Y13" s="194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70">
      <c r="A14" s="9"/>
      <c r="B14" s="3"/>
      <c r="C14" s="97" t="s">
        <v>41</v>
      </c>
      <c r="D14" s="1" t="s">
        <v>412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S14" s="1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</row>
    <row r="15" spans="1:70">
      <c r="A15" s="9">
        <v>1</v>
      </c>
      <c r="B15" s="3"/>
      <c r="C15" s="97" t="s">
        <v>213</v>
      </c>
      <c r="D15" s="1" t="s">
        <v>73</v>
      </c>
      <c r="E15" s="19">
        <v>590861691.45999992</v>
      </c>
      <c r="F15" s="19">
        <v>590019815.55999994</v>
      </c>
      <c r="G15" s="19">
        <v>589543322.11999977</v>
      </c>
      <c r="H15" s="19">
        <v>588515864.55999994</v>
      </c>
      <c r="I15" s="19">
        <v>588572330.98999989</v>
      </c>
      <c r="J15" s="19">
        <v>588628672.4799999</v>
      </c>
      <c r="K15" s="19">
        <v>588579650.86999989</v>
      </c>
      <c r="L15" s="19">
        <v>588551287.80000007</v>
      </c>
      <c r="M15" s="19">
        <v>588855745.14999998</v>
      </c>
      <c r="N15" s="19">
        <v>589467357.98999989</v>
      </c>
      <c r="O15" s="19">
        <v>590098276.30999994</v>
      </c>
      <c r="P15" s="19">
        <v>590178275.27999997</v>
      </c>
      <c r="Q15" s="19">
        <v>592246801.63999999</v>
      </c>
      <c r="R15" s="19">
        <f t="shared" ref="R15:R21" si="0">AVERAGE(E15:Q15)</f>
        <v>589547622.47769225</v>
      </c>
      <c r="S15" s="1"/>
      <c r="U15" s="19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</row>
    <row r="16" spans="1:70">
      <c r="A16" s="9">
        <f t="shared" ref="A16:A65" si="1">+A15+1</f>
        <v>2</v>
      </c>
      <c r="B16" s="3"/>
      <c r="C16" s="97" t="s">
        <v>215</v>
      </c>
      <c r="D16" s="1" t="s">
        <v>120</v>
      </c>
      <c r="E16" s="19">
        <v>184727231.40999997</v>
      </c>
      <c r="F16" s="19">
        <v>185137078.32999998</v>
      </c>
      <c r="G16" s="19">
        <v>185151722.07999998</v>
      </c>
      <c r="H16" s="19">
        <v>185357707.90000001</v>
      </c>
      <c r="I16" s="19">
        <v>185232380.15000004</v>
      </c>
      <c r="J16" s="19">
        <v>185242163.49000001</v>
      </c>
      <c r="K16" s="19">
        <v>185274552.94999999</v>
      </c>
      <c r="L16" s="19">
        <v>198405948.00999999</v>
      </c>
      <c r="M16" s="19">
        <v>198359982.47000003</v>
      </c>
      <c r="N16" s="19">
        <v>198565872.95000002</v>
      </c>
      <c r="O16" s="19">
        <v>198482563.38000005</v>
      </c>
      <c r="P16" s="19">
        <v>207960577.84999999</v>
      </c>
      <c r="Q16" s="19">
        <v>208155661.73000002</v>
      </c>
      <c r="R16" s="19">
        <f t="shared" si="0"/>
        <v>192773341.74615386</v>
      </c>
      <c r="S16" s="1"/>
      <c r="U16" s="19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</row>
    <row r="17" spans="1:70">
      <c r="A17" s="9">
        <f t="shared" si="1"/>
        <v>3</v>
      </c>
      <c r="B17" s="3"/>
      <c r="C17" s="97" t="s">
        <v>216</v>
      </c>
      <c r="D17" s="1" t="s">
        <v>121</v>
      </c>
      <c r="E17" s="19">
        <v>376277441.11000001</v>
      </c>
      <c r="F17" s="19">
        <v>376661124.24000013</v>
      </c>
      <c r="G17" s="19">
        <v>377590898.83000016</v>
      </c>
      <c r="H17" s="19">
        <v>379087010.51000005</v>
      </c>
      <c r="I17" s="19">
        <v>379810806.70000011</v>
      </c>
      <c r="J17" s="19">
        <v>380310306.8300001</v>
      </c>
      <c r="K17" s="19">
        <v>382595006.60999984</v>
      </c>
      <c r="L17" s="19">
        <v>383397121.93000001</v>
      </c>
      <c r="M17" s="19">
        <v>385866658.5000003</v>
      </c>
      <c r="N17" s="19">
        <v>388538630.20000017</v>
      </c>
      <c r="O17" s="19">
        <v>390374637.11000025</v>
      </c>
      <c r="P17" s="19">
        <v>393636018.78000003</v>
      </c>
      <c r="Q17" s="19">
        <v>394674920.72999978</v>
      </c>
      <c r="R17" s="19">
        <f t="shared" si="0"/>
        <v>383755429.39076924</v>
      </c>
      <c r="S17" s="1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</row>
    <row r="18" spans="1:70">
      <c r="A18" s="9">
        <f t="shared" si="1"/>
        <v>4</v>
      </c>
      <c r="B18" s="3"/>
      <c r="C18" s="97" t="s">
        <v>217</v>
      </c>
      <c r="D18" s="1" t="s">
        <v>407</v>
      </c>
      <c r="E18" s="19">
        <v>44141667.160000026</v>
      </c>
      <c r="F18" s="19">
        <v>38334423.270000011</v>
      </c>
      <c r="G18" s="19">
        <v>38343453.420000039</v>
      </c>
      <c r="H18" s="19">
        <v>38305502.739999987</v>
      </c>
      <c r="I18" s="19">
        <v>38369248.199999996</v>
      </c>
      <c r="J18" s="19">
        <v>38443631.540000014</v>
      </c>
      <c r="K18" s="19">
        <v>38227754.190000005</v>
      </c>
      <c r="L18" s="19">
        <v>38229525.100000016</v>
      </c>
      <c r="M18" s="19">
        <v>38747518.160000004</v>
      </c>
      <c r="N18" s="19">
        <v>39086304.51000002</v>
      </c>
      <c r="O18" s="19">
        <v>39389883.249999985</v>
      </c>
      <c r="P18" s="19">
        <v>40037523.990000002</v>
      </c>
      <c r="Q18" s="19">
        <v>42832155.160000019</v>
      </c>
      <c r="R18" s="19">
        <f t="shared" si="0"/>
        <v>39422199.28384617</v>
      </c>
      <c r="S18" s="1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</row>
    <row r="19" spans="1:70">
      <c r="A19" s="9">
        <f t="shared" si="1"/>
        <v>5</v>
      </c>
      <c r="B19" s="3"/>
      <c r="C19" s="97" t="s">
        <v>137</v>
      </c>
      <c r="D19" s="1" t="s">
        <v>443</v>
      </c>
      <c r="E19" s="19">
        <v>31025879.084621027</v>
      </c>
      <c r="F19" s="19">
        <v>30929412.434621029</v>
      </c>
      <c r="G19" s="19">
        <v>31006661.434621029</v>
      </c>
      <c r="H19" s="19">
        <v>31399466.434621029</v>
      </c>
      <c r="I19" s="19">
        <v>30989565.434621029</v>
      </c>
      <c r="J19" s="19">
        <v>31288185.434621029</v>
      </c>
      <c r="K19" s="19">
        <v>31044635.434621029</v>
      </c>
      <c r="L19" s="19">
        <v>31905663.434621029</v>
      </c>
      <c r="M19" s="19">
        <v>30460649.434621029</v>
      </c>
      <c r="N19" s="19">
        <v>29357221.434621029</v>
      </c>
      <c r="O19" s="19">
        <v>27888464.434621029</v>
      </c>
      <c r="P19" s="19">
        <v>27823909.434621029</v>
      </c>
      <c r="Q19" s="19">
        <v>28921687.434621029</v>
      </c>
      <c r="R19" s="19">
        <f>AVERAGE(E19:Q19)</f>
        <v>30310877.023082573</v>
      </c>
      <c r="S19" s="1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</row>
    <row r="20" spans="1:70">
      <c r="A20" s="9">
        <f t="shared" si="1"/>
        <v>6</v>
      </c>
      <c r="B20" s="3"/>
      <c r="C20" s="97" t="s">
        <v>102</v>
      </c>
      <c r="D20" s="1" t="s">
        <v>101</v>
      </c>
      <c r="E20" s="19">
        <v>7058966.879999999</v>
      </c>
      <c r="F20" s="19">
        <v>7616453.8299999991</v>
      </c>
      <c r="G20" s="19">
        <v>7618591.8999999994</v>
      </c>
      <c r="H20" s="19">
        <v>7617838.8499999996</v>
      </c>
      <c r="I20" s="19">
        <v>7618083.959999999</v>
      </c>
      <c r="J20" s="19">
        <v>7620555.5399999991</v>
      </c>
      <c r="K20" s="19">
        <v>7610687.8699999992</v>
      </c>
      <c r="L20" s="19">
        <v>7880432.4799999995</v>
      </c>
      <c r="M20" s="19">
        <v>7878232.2899999991</v>
      </c>
      <c r="N20" s="19">
        <v>7877890.7999999989</v>
      </c>
      <c r="O20" s="19">
        <v>7877890.7999999989</v>
      </c>
      <c r="P20" s="19">
        <v>7921110.1200000001</v>
      </c>
      <c r="Q20" s="19">
        <v>7921110.1200000001</v>
      </c>
      <c r="R20" s="19">
        <f t="shared" si="0"/>
        <v>7701372.7261538459</v>
      </c>
      <c r="S20" s="1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</row>
    <row r="21" spans="1:70">
      <c r="A21" s="9">
        <f t="shared" si="1"/>
        <v>7</v>
      </c>
      <c r="B21" s="3"/>
      <c r="C21" s="97" t="s">
        <v>219</v>
      </c>
      <c r="D21" s="1" t="s">
        <v>220</v>
      </c>
      <c r="E21" s="19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0</v>
      </c>
      <c r="R21" s="19">
        <f t="shared" si="0"/>
        <v>0</v>
      </c>
      <c r="S21" s="1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</row>
    <row r="22" spans="1:70">
      <c r="A22" s="9">
        <f t="shared" si="1"/>
        <v>8</v>
      </c>
      <c r="B22" s="3"/>
      <c r="C22" s="96" t="s">
        <v>5</v>
      </c>
      <c r="D22" s="1" t="str">
        <f>"(sum lines "&amp;A15&amp;" - "&amp;A21&amp;")"</f>
        <v>(sum lines 1 - 7)</v>
      </c>
      <c r="E22" s="49">
        <f>SUM(E15:E21)</f>
        <v>1234092877.1046212</v>
      </c>
      <c r="F22" s="49">
        <f>SUM(F15:F21)</f>
        <v>1228698307.6646211</v>
      </c>
      <c r="G22" s="49">
        <f t="shared" ref="G22:R22" si="2">SUM(G15:G21)</f>
        <v>1229254649.7846212</v>
      </c>
      <c r="H22" s="49">
        <f t="shared" si="2"/>
        <v>1230283390.994621</v>
      </c>
      <c r="I22" s="49">
        <f t="shared" si="2"/>
        <v>1230592415.4346211</v>
      </c>
      <c r="J22" s="49">
        <f t="shared" si="2"/>
        <v>1231533515.314621</v>
      </c>
      <c r="K22" s="49">
        <f t="shared" si="2"/>
        <v>1233332287.9246209</v>
      </c>
      <c r="L22" s="49">
        <f t="shared" si="2"/>
        <v>1248369978.754621</v>
      </c>
      <c r="M22" s="49">
        <f t="shared" si="2"/>
        <v>1250168786.0046215</v>
      </c>
      <c r="N22" s="49">
        <f t="shared" si="2"/>
        <v>1252893277.8846211</v>
      </c>
      <c r="O22" s="49">
        <f t="shared" si="2"/>
        <v>1254111715.2846212</v>
      </c>
      <c r="P22" s="49">
        <f t="shared" si="2"/>
        <v>1267557415.4546211</v>
      </c>
      <c r="Q22" s="49">
        <f t="shared" si="2"/>
        <v>1274752336.814621</v>
      </c>
      <c r="R22" s="49">
        <f t="shared" si="2"/>
        <v>1243510842.6476979</v>
      </c>
      <c r="S22" s="1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</row>
    <row r="23" spans="1:70">
      <c r="A23" s="9">
        <f t="shared" si="1"/>
        <v>9</v>
      </c>
      <c r="B23" s="3"/>
      <c r="C23" s="97"/>
      <c r="D23" s="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</row>
    <row r="24" spans="1:70">
      <c r="A24" s="9">
        <f t="shared" si="1"/>
        <v>10</v>
      </c>
      <c r="B24" s="3"/>
      <c r="C24" s="97" t="s">
        <v>42</v>
      </c>
      <c r="D24" s="1" t="s">
        <v>412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</row>
    <row r="25" spans="1:70">
      <c r="A25" s="9">
        <f t="shared" si="1"/>
        <v>11</v>
      </c>
      <c r="B25" s="3"/>
      <c r="C25" s="97" t="str">
        <f>+C15</f>
        <v xml:space="preserve">  Production</v>
      </c>
      <c r="D25" s="1" t="s">
        <v>408</v>
      </c>
      <c r="E25" s="19">
        <v>190308275.37585765</v>
      </c>
      <c r="F25" s="19">
        <v>190956047.51105112</v>
      </c>
      <c r="G25" s="19">
        <v>191867819.68860266</v>
      </c>
      <c r="H25" s="19">
        <v>192316204.64247727</v>
      </c>
      <c r="I25" s="19">
        <v>192701907.6477952</v>
      </c>
      <c r="J25" s="19">
        <v>193150582.68840253</v>
      </c>
      <c r="K25" s="19">
        <v>194493325.5108605</v>
      </c>
      <c r="L25" s="19">
        <v>195860311.0600377</v>
      </c>
      <c r="M25" s="19">
        <v>197196019.29319263</v>
      </c>
      <c r="N25" s="19">
        <v>198354506.7238239</v>
      </c>
      <c r="O25" s="19">
        <v>199680669.64534965</v>
      </c>
      <c r="P25" s="19">
        <v>200923046.72423679</v>
      </c>
      <c r="Q25" s="19">
        <v>202286781.35704654</v>
      </c>
      <c r="R25" s="19">
        <f t="shared" ref="R25:R31" si="3">AVERAGE(E25:Q25)</f>
        <v>195391961.37451798</v>
      </c>
      <c r="S25" s="1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</row>
    <row r="26" spans="1:70">
      <c r="A26" s="9">
        <f t="shared" si="1"/>
        <v>12</v>
      </c>
      <c r="B26" s="3"/>
      <c r="C26" s="97" t="s">
        <v>215</v>
      </c>
      <c r="D26" s="1" t="s">
        <v>122</v>
      </c>
      <c r="E26" s="19">
        <f>E71</f>
        <v>45038240.520835996</v>
      </c>
      <c r="F26" s="19">
        <f t="shared" ref="F26:Q26" si="4">F71</f>
        <v>45374496.278407373</v>
      </c>
      <c r="G26" s="19">
        <f t="shared" si="4"/>
        <v>45698135.570009626</v>
      </c>
      <c r="H26" s="19">
        <f t="shared" si="4"/>
        <v>46014802.837847754</v>
      </c>
      <c r="I26" s="19">
        <f t="shared" si="4"/>
        <v>46409635.92598027</v>
      </c>
      <c r="J26" s="19">
        <f t="shared" si="4"/>
        <v>46757649.327768475</v>
      </c>
      <c r="K26" s="19">
        <f t="shared" si="4"/>
        <v>47108295.393481202</v>
      </c>
      <c r="L26" s="19">
        <f t="shared" si="4"/>
        <v>47414882.775038511</v>
      </c>
      <c r="M26" s="19">
        <f t="shared" si="4"/>
        <v>47638692.134786136</v>
      </c>
      <c r="N26" s="19">
        <f t="shared" si="4"/>
        <v>48020250.743772522</v>
      </c>
      <c r="O26" s="19">
        <f t="shared" si="4"/>
        <v>48389075.044918165</v>
      </c>
      <c r="P26" s="19">
        <f t="shared" si="4"/>
        <v>48792295.611052878</v>
      </c>
      <c r="Q26" s="19">
        <f t="shared" si="4"/>
        <v>49165690.251400501</v>
      </c>
      <c r="R26" s="19">
        <f t="shared" si="3"/>
        <v>47063241.724253803</v>
      </c>
      <c r="S26" s="1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</row>
    <row r="27" spans="1:70">
      <c r="A27" s="9">
        <f t="shared" si="1"/>
        <v>13</v>
      </c>
      <c r="B27" s="3"/>
      <c r="C27" s="97" t="s">
        <v>216</v>
      </c>
      <c r="D27" s="1" t="s">
        <v>123</v>
      </c>
      <c r="E27" s="19">
        <v>133804900</v>
      </c>
      <c r="F27" s="19">
        <v>134473807.40301153</v>
      </c>
      <c r="G27" s="19">
        <v>135160208.94387707</v>
      </c>
      <c r="H27" s="19">
        <v>135804396.77811816</v>
      </c>
      <c r="I27" s="19">
        <v>136739982.74018726</v>
      </c>
      <c r="J27" s="19">
        <v>137422230.98519814</v>
      </c>
      <c r="K27" s="19">
        <v>138028866.91409019</v>
      </c>
      <c r="L27" s="19">
        <v>138584827.42038071</v>
      </c>
      <c r="M27" s="19">
        <v>139319337.40327412</v>
      </c>
      <c r="N27" s="19">
        <v>140073478.55382833</v>
      </c>
      <c r="O27" s="19">
        <v>140792918.62416914</v>
      </c>
      <c r="P27" s="19">
        <v>141254359.88081011</v>
      </c>
      <c r="Q27" s="19">
        <v>141957768.58000001</v>
      </c>
      <c r="R27" s="19">
        <f>AVERAGE(E27:Q27)</f>
        <v>137955160.32514957</v>
      </c>
      <c r="S27" s="1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</row>
    <row r="28" spans="1:70">
      <c r="A28" s="9">
        <f t="shared" si="1"/>
        <v>14</v>
      </c>
      <c r="B28" s="3"/>
      <c r="C28" s="97" t="str">
        <f>+C18</f>
        <v xml:space="preserve">  General &amp; Intangible</v>
      </c>
      <c r="D28" s="1" t="s">
        <v>444</v>
      </c>
      <c r="E28" s="19">
        <f>+E75</f>
        <v>24493449.501903161</v>
      </c>
      <c r="F28" s="19">
        <f t="shared" ref="F28:Q28" si="5">+F75</f>
        <v>24056173.112977736</v>
      </c>
      <c r="G28" s="19">
        <f t="shared" si="5"/>
        <v>24213502.371371038</v>
      </c>
      <c r="H28" s="19">
        <f t="shared" si="5"/>
        <v>24310458.599851683</v>
      </c>
      <c r="I28" s="19">
        <f t="shared" si="5"/>
        <v>24479366.519420415</v>
      </c>
      <c r="J28" s="19">
        <f t="shared" si="5"/>
        <v>24649877.351020504</v>
      </c>
      <c r="K28" s="19">
        <f t="shared" si="5"/>
        <v>24585769.822691254</v>
      </c>
      <c r="L28" s="19">
        <f t="shared" si="5"/>
        <v>24692663.003896922</v>
      </c>
      <c r="M28" s="19">
        <f t="shared" si="5"/>
        <v>24984274.10978777</v>
      </c>
      <c r="N28" s="19">
        <f t="shared" si="5"/>
        <v>25073365.800302997</v>
      </c>
      <c r="O28" s="19">
        <f t="shared" si="5"/>
        <v>25231729.654058035</v>
      </c>
      <c r="P28" s="19">
        <f t="shared" si="5"/>
        <v>25409494.747615959</v>
      </c>
      <c r="Q28" s="19">
        <f t="shared" si="5"/>
        <v>25523256.743173439</v>
      </c>
      <c r="R28" s="19">
        <f>AVERAGE(E28:Q28)</f>
        <v>24746413.949082375</v>
      </c>
      <c r="S28" s="1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</row>
    <row r="29" spans="1:70">
      <c r="A29" s="9">
        <f t="shared" si="1"/>
        <v>15</v>
      </c>
      <c r="B29" s="3"/>
      <c r="C29" s="97" t="s">
        <v>137</v>
      </c>
      <c r="D29" s="1" t="s">
        <v>445</v>
      </c>
      <c r="E29" s="19">
        <v>15460881.681168701</v>
      </c>
      <c r="F29" s="19">
        <v>15586688.804209599</v>
      </c>
      <c r="G29" s="19">
        <v>15777851.171842</v>
      </c>
      <c r="H29" s="19">
        <v>15803538.5394744</v>
      </c>
      <c r="I29" s="19">
        <v>15318389.9071068</v>
      </c>
      <c r="J29" s="19">
        <v>15600748.2747392</v>
      </c>
      <c r="K29" s="19">
        <v>15715429.6423716</v>
      </c>
      <c r="L29" s="19">
        <v>15090135.010004001</v>
      </c>
      <c r="M29" s="19">
        <v>15070744.377636399</v>
      </c>
      <c r="N29" s="19">
        <v>14953189.745268799</v>
      </c>
      <c r="O29" s="19">
        <v>13513705.1129012</v>
      </c>
      <c r="P29" s="19">
        <v>13702219.4805336</v>
      </c>
      <c r="Q29" s="19">
        <v>13484258.848166</v>
      </c>
      <c r="R29" s="19">
        <f>AVERAGE(E29:Q29)</f>
        <v>15005983.122724792</v>
      </c>
      <c r="S29" s="1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</row>
    <row r="30" spans="1:70">
      <c r="A30" s="9">
        <f t="shared" si="1"/>
        <v>16</v>
      </c>
      <c r="B30" s="3"/>
      <c r="C30" s="97" t="str">
        <f>+C20</f>
        <v xml:space="preserve">  Communication System</v>
      </c>
      <c r="D30" s="1" t="s">
        <v>446</v>
      </c>
      <c r="E30" s="19">
        <f>+E79</f>
        <v>3702528.6212746673</v>
      </c>
      <c r="F30" s="19">
        <f t="shared" ref="F30:Q30" si="6">+F79</f>
        <v>3748691.1769540841</v>
      </c>
      <c r="G30" s="19">
        <f t="shared" si="6"/>
        <v>3796023.0257282509</v>
      </c>
      <c r="H30" s="19">
        <f t="shared" si="6"/>
        <v>3843356.5558978342</v>
      </c>
      <c r="I30" s="19">
        <f t="shared" si="6"/>
        <v>3890689.4162008339</v>
      </c>
      <c r="J30" s="19">
        <f t="shared" si="6"/>
        <v>3938031.8704353343</v>
      </c>
      <c r="K30" s="19">
        <f t="shared" si="6"/>
        <v>3975477.8986284174</v>
      </c>
      <c r="L30" s="19">
        <f t="shared" si="6"/>
        <v>4015475.6203257507</v>
      </c>
      <c r="M30" s="19">
        <f t="shared" si="6"/>
        <v>4064365.580054001</v>
      </c>
      <c r="N30" s="19">
        <f t="shared" si="6"/>
        <v>4113249.4662440009</v>
      </c>
      <c r="O30" s="19">
        <f t="shared" si="6"/>
        <v>4162132.6124340007</v>
      </c>
      <c r="P30" s="19">
        <f t="shared" si="6"/>
        <v>4211174.5893750014</v>
      </c>
      <c r="Q30" s="19">
        <f t="shared" si="6"/>
        <v>4260306.5963160004</v>
      </c>
      <c r="R30" s="19">
        <f t="shared" si="3"/>
        <v>3978577.1561437058</v>
      </c>
      <c r="S30" s="1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</row>
    <row r="31" spans="1:70">
      <c r="A31" s="9">
        <f t="shared" si="1"/>
        <v>17</v>
      </c>
      <c r="B31" s="3"/>
      <c r="C31" s="97" t="str">
        <f>+C21</f>
        <v xml:space="preserve">  Common</v>
      </c>
      <c r="D31" s="1" t="s">
        <v>220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>
        <v>0</v>
      </c>
      <c r="R31" s="19">
        <f t="shared" si="3"/>
        <v>0</v>
      </c>
      <c r="S31" s="1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</row>
    <row r="32" spans="1:70">
      <c r="A32" s="9">
        <f t="shared" si="1"/>
        <v>18</v>
      </c>
      <c r="B32" s="3"/>
      <c r="C32" s="97" t="s">
        <v>7</v>
      </c>
      <c r="D32" s="1" t="str">
        <f>"(sum lines "&amp;A25&amp;" - "&amp;A31&amp;")"</f>
        <v>(sum lines 11 - 17)</v>
      </c>
      <c r="E32" s="49">
        <f>SUM(E25:E31)</f>
        <v>412808275.70104015</v>
      </c>
      <c r="F32" s="49">
        <f t="shared" ref="F32:R32" si="7">SUM(F25:F31)</f>
        <v>414195904.28661144</v>
      </c>
      <c r="G32" s="49">
        <f t="shared" si="7"/>
        <v>416513540.77143061</v>
      </c>
      <c r="H32" s="49">
        <f t="shared" si="7"/>
        <v>418092757.95366716</v>
      </c>
      <c r="I32" s="49">
        <f t="shared" si="7"/>
        <v>419539972.15669072</v>
      </c>
      <c r="J32" s="49">
        <f t="shared" si="7"/>
        <v>421519120.4975642</v>
      </c>
      <c r="K32" s="49">
        <f t="shared" si="7"/>
        <v>423907165.18212312</v>
      </c>
      <c r="L32" s="49">
        <f t="shared" si="7"/>
        <v>425658294.8896836</v>
      </c>
      <c r="M32" s="49">
        <f t="shared" si="7"/>
        <v>428273432.89873099</v>
      </c>
      <c r="N32" s="49">
        <f t="shared" si="7"/>
        <v>430588041.03324056</v>
      </c>
      <c r="O32" s="49">
        <f>SUM(O25:O31)</f>
        <v>431770230.69383019</v>
      </c>
      <c r="P32" s="49">
        <f>SUM(P25:P31)</f>
        <v>434292591.03362429</v>
      </c>
      <c r="Q32" s="49">
        <f>SUM(Q25:Q31)</f>
        <v>436678062.37610245</v>
      </c>
      <c r="R32" s="49">
        <f t="shared" si="7"/>
        <v>424141337.65187222</v>
      </c>
      <c r="S32" s="1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</row>
    <row r="33" spans="1:70">
      <c r="A33" s="9">
        <f t="shared" si="1"/>
        <v>19</v>
      </c>
      <c r="B33" s="3"/>
      <c r="C33" s="3"/>
      <c r="D33" s="1" t="s">
        <v>194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</row>
    <row r="34" spans="1:70">
      <c r="A34" s="9">
        <f t="shared" si="1"/>
        <v>20</v>
      </c>
      <c r="B34" s="3"/>
      <c r="C34" s="97" t="s">
        <v>223</v>
      </c>
      <c r="D34" s="1" t="s">
        <v>412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</row>
    <row r="35" spans="1:70">
      <c r="A35" s="9">
        <f t="shared" si="1"/>
        <v>21</v>
      </c>
      <c r="B35" s="3"/>
      <c r="C35" s="97" t="str">
        <f>+C25</f>
        <v xml:space="preserve">  Production</v>
      </c>
      <c r="D35" s="1" t="str">
        <f t="shared" ref="D35:D41" si="8">"(line "&amp;A15&amp;" - line "&amp;A25&amp;")"</f>
        <v>(line 1 - line 11)</v>
      </c>
      <c r="E35" s="19">
        <f t="shared" ref="E35:E41" si="9">+E15-E25</f>
        <v>400553416.08414227</v>
      </c>
      <c r="F35" s="19">
        <f t="shared" ref="F35:Q35" si="10">+F15-F25</f>
        <v>399063768.04894882</v>
      </c>
      <c r="G35" s="19">
        <f t="shared" si="10"/>
        <v>397675502.43139708</v>
      </c>
      <c r="H35" s="19">
        <f t="shared" si="10"/>
        <v>396199659.91752267</v>
      </c>
      <c r="I35" s="19">
        <f t="shared" si="10"/>
        <v>395870423.34220469</v>
      </c>
      <c r="J35" s="19">
        <f t="shared" si="10"/>
        <v>395478089.79159737</v>
      </c>
      <c r="K35" s="19">
        <f t="shared" si="10"/>
        <v>394086325.35913938</v>
      </c>
      <c r="L35" s="19">
        <f t="shared" si="10"/>
        <v>392690976.73996234</v>
      </c>
      <c r="M35" s="19">
        <f t="shared" si="10"/>
        <v>391659725.85680735</v>
      </c>
      <c r="N35" s="19">
        <f t="shared" si="10"/>
        <v>391112851.26617599</v>
      </c>
      <c r="O35" s="19">
        <f t="shared" si="10"/>
        <v>390417606.66465032</v>
      </c>
      <c r="P35" s="19">
        <f t="shared" si="10"/>
        <v>389255228.55576319</v>
      </c>
      <c r="Q35" s="19">
        <f t="shared" si="10"/>
        <v>389960020.28295344</v>
      </c>
      <c r="R35" s="19">
        <f>R15-R25</f>
        <v>394155661.10317427</v>
      </c>
      <c r="S35" s="1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</row>
    <row r="36" spans="1:70">
      <c r="A36" s="9">
        <f t="shared" si="1"/>
        <v>22</v>
      </c>
      <c r="B36" s="3"/>
      <c r="C36" s="97" t="s">
        <v>215</v>
      </c>
      <c r="D36" s="1" t="str">
        <f t="shared" si="8"/>
        <v>(line 2 - line 12)</v>
      </c>
      <c r="E36" s="19">
        <f t="shared" si="9"/>
        <v>139688990.88916397</v>
      </c>
      <c r="F36" s="19">
        <f t="shared" ref="F36:Q41" si="11">+F16-F26</f>
        <v>139762582.05159262</v>
      </c>
      <c r="G36" s="19">
        <f t="shared" si="11"/>
        <v>139453586.50999036</v>
      </c>
      <c r="H36" s="19">
        <f t="shared" si="11"/>
        <v>139342905.06215227</v>
      </c>
      <c r="I36" s="19">
        <f t="shared" si="11"/>
        <v>138822744.22401977</v>
      </c>
      <c r="J36" s="19">
        <f t="shared" si="11"/>
        <v>138484514.16223153</v>
      </c>
      <c r="K36" s="19">
        <f t="shared" si="11"/>
        <v>138166257.55651879</v>
      </c>
      <c r="L36" s="19">
        <f t="shared" si="11"/>
        <v>150991065.23496148</v>
      </c>
      <c r="M36" s="19">
        <f t="shared" si="11"/>
        <v>150721290.3352139</v>
      </c>
      <c r="N36" s="19">
        <f t="shared" si="11"/>
        <v>150545622.20622748</v>
      </c>
      <c r="O36" s="19">
        <f t="shared" si="11"/>
        <v>150093488.33508188</v>
      </c>
      <c r="P36" s="19">
        <f t="shared" si="11"/>
        <v>159168282.23894712</v>
      </c>
      <c r="Q36" s="19">
        <f t="shared" si="11"/>
        <v>158989971.47859952</v>
      </c>
      <c r="R36" s="19">
        <f t="shared" ref="R36:R41" si="12">R16-R26</f>
        <v>145710100.02190006</v>
      </c>
      <c r="S36" s="1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</row>
    <row r="37" spans="1:70">
      <c r="A37" s="9">
        <f t="shared" si="1"/>
        <v>23</v>
      </c>
      <c r="B37" s="3"/>
      <c r="C37" s="97" t="s">
        <v>297</v>
      </c>
      <c r="D37" s="1" t="str">
        <f t="shared" si="8"/>
        <v>(line 3 - line 13)</v>
      </c>
      <c r="E37" s="19">
        <f t="shared" si="9"/>
        <v>242472541.11000001</v>
      </c>
      <c r="F37" s="19">
        <f t="shared" si="11"/>
        <v>242187316.8369886</v>
      </c>
      <c r="G37" s="19">
        <f t="shared" si="11"/>
        <v>242430689.88612309</v>
      </c>
      <c r="H37" s="19">
        <f t="shared" si="11"/>
        <v>243282613.73188189</v>
      </c>
      <c r="I37" s="19">
        <f t="shared" si="11"/>
        <v>243070823.95981285</v>
      </c>
      <c r="J37" s="19">
        <f t="shared" si="11"/>
        <v>242888075.84480196</v>
      </c>
      <c r="K37" s="19">
        <f t="shared" si="11"/>
        <v>244566139.69590965</v>
      </c>
      <c r="L37" s="19">
        <f t="shared" si="11"/>
        <v>244812294.5096193</v>
      </c>
      <c r="M37" s="19">
        <f t="shared" si="11"/>
        <v>246547321.09672618</v>
      </c>
      <c r="N37" s="19">
        <f t="shared" si="11"/>
        <v>248465151.64617184</v>
      </c>
      <c r="O37" s="19">
        <f t="shared" si="11"/>
        <v>249581718.48583111</v>
      </c>
      <c r="P37" s="19">
        <f t="shared" si="11"/>
        <v>252381658.89918992</v>
      </c>
      <c r="Q37" s="19">
        <f t="shared" si="11"/>
        <v>252717152.14999977</v>
      </c>
      <c r="R37" s="19">
        <f t="shared" si="12"/>
        <v>245800269.06561968</v>
      </c>
      <c r="S37" s="1"/>
      <c r="T37" s="102"/>
      <c r="U37" s="102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</row>
    <row r="38" spans="1:70">
      <c r="A38" s="9">
        <f t="shared" si="1"/>
        <v>24</v>
      </c>
      <c r="B38" s="3"/>
      <c r="C38" s="97" t="str">
        <f>+C28</f>
        <v xml:space="preserve">  General &amp; Intangible</v>
      </c>
      <c r="D38" s="1" t="str">
        <f t="shared" si="8"/>
        <v>(line 4 - line 14)</v>
      </c>
      <c r="E38" s="19">
        <f t="shared" si="9"/>
        <v>19648217.658096865</v>
      </c>
      <c r="F38" s="19">
        <f t="shared" si="11"/>
        <v>14278250.157022275</v>
      </c>
      <c r="G38" s="19">
        <f t="shared" si="11"/>
        <v>14129951.048629001</v>
      </c>
      <c r="H38" s="19">
        <f t="shared" si="11"/>
        <v>13995044.140148304</v>
      </c>
      <c r="I38" s="19">
        <f t="shared" si="11"/>
        <v>13889881.68057958</v>
      </c>
      <c r="J38" s="19">
        <f t="shared" si="11"/>
        <v>13793754.18897951</v>
      </c>
      <c r="K38" s="19">
        <f t="shared" si="11"/>
        <v>13641984.367308751</v>
      </c>
      <c r="L38" s="19">
        <f t="shared" si="11"/>
        <v>13536862.096103095</v>
      </c>
      <c r="M38" s="19">
        <f t="shared" si="11"/>
        <v>13763244.050212234</v>
      </c>
      <c r="N38" s="19">
        <f t="shared" si="11"/>
        <v>14012938.709697023</v>
      </c>
      <c r="O38" s="19">
        <f t="shared" si="11"/>
        <v>14158153.59594195</v>
      </c>
      <c r="P38" s="19">
        <f t="shared" si="11"/>
        <v>14628029.242384043</v>
      </c>
      <c r="Q38" s="19">
        <f t="shared" si="11"/>
        <v>17308898.41682658</v>
      </c>
      <c r="R38" s="19">
        <f t="shared" si="12"/>
        <v>14675785.334763795</v>
      </c>
      <c r="S38" s="1"/>
      <c r="T38" s="102"/>
      <c r="U38" s="102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</row>
    <row r="39" spans="1:70">
      <c r="A39" s="9">
        <f t="shared" si="1"/>
        <v>25</v>
      </c>
      <c r="B39" s="3"/>
      <c r="C39" s="97" t="s">
        <v>137</v>
      </c>
      <c r="D39" s="1" t="str">
        <f t="shared" si="8"/>
        <v>(line 5 - line 15)</v>
      </c>
      <c r="E39" s="19">
        <f t="shared" si="9"/>
        <v>15564997.403452326</v>
      </c>
      <c r="F39" s="19">
        <f t="shared" si="11"/>
        <v>15342723.630411429</v>
      </c>
      <c r="G39" s="19">
        <f t="shared" si="11"/>
        <v>15228810.262779029</v>
      </c>
      <c r="H39" s="19">
        <f t="shared" si="11"/>
        <v>15595927.895146629</v>
      </c>
      <c r="I39" s="19">
        <f t="shared" si="11"/>
        <v>15671175.527514229</v>
      </c>
      <c r="J39" s="19">
        <f t="shared" si="11"/>
        <v>15687437.159881828</v>
      </c>
      <c r="K39" s="19">
        <f t="shared" si="11"/>
        <v>15329205.792249428</v>
      </c>
      <c r="L39" s="19">
        <f t="shared" si="11"/>
        <v>16815528.42461703</v>
      </c>
      <c r="M39" s="19">
        <f t="shared" si="11"/>
        <v>15389905.056984629</v>
      </c>
      <c r="N39" s="19">
        <f t="shared" si="11"/>
        <v>14404031.689352229</v>
      </c>
      <c r="O39" s="19">
        <f t="shared" si="11"/>
        <v>14374759.321719829</v>
      </c>
      <c r="P39" s="19">
        <f t="shared" si="11"/>
        <v>14121689.954087429</v>
      </c>
      <c r="Q39" s="19">
        <f t="shared" si="11"/>
        <v>15437428.586455029</v>
      </c>
      <c r="R39" s="19">
        <f t="shared" si="12"/>
        <v>15304893.900357781</v>
      </c>
      <c r="S39" s="1"/>
      <c r="T39" s="102"/>
      <c r="U39" s="102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</row>
    <row r="40" spans="1:70">
      <c r="A40" s="9">
        <f t="shared" si="1"/>
        <v>26</v>
      </c>
      <c r="B40" s="3"/>
      <c r="C40" s="97" t="str">
        <f>+C30</f>
        <v xml:space="preserve">  Communication System</v>
      </c>
      <c r="D40" s="1" t="str">
        <f t="shared" si="8"/>
        <v>(line 6 - line 16)</v>
      </c>
      <c r="E40" s="19">
        <f t="shared" si="9"/>
        <v>3356438.2587253316</v>
      </c>
      <c r="F40" s="19">
        <f t="shared" si="11"/>
        <v>3867762.6530459151</v>
      </c>
      <c r="G40" s="19">
        <f t="shared" si="11"/>
        <v>3822568.8742717486</v>
      </c>
      <c r="H40" s="19">
        <f t="shared" si="11"/>
        <v>3774482.2941021654</v>
      </c>
      <c r="I40" s="19">
        <f t="shared" si="11"/>
        <v>3727394.5437991652</v>
      </c>
      <c r="J40" s="19">
        <f t="shared" si="11"/>
        <v>3682523.6695646648</v>
      </c>
      <c r="K40" s="19">
        <f t="shared" si="11"/>
        <v>3635209.9713715818</v>
      </c>
      <c r="L40" s="19">
        <f t="shared" si="11"/>
        <v>3864956.8596742488</v>
      </c>
      <c r="M40" s="19">
        <f t="shared" si="11"/>
        <v>3813866.7099459982</v>
      </c>
      <c r="N40" s="19">
        <f t="shared" si="11"/>
        <v>3764641.3337559979</v>
      </c>
      <c r="O40" s="19">
        <f t="shared" si="11"/>
        <v>3715758.1875659982</v>
      </c>
      <c r="P40" s="19">
        <f t="shared" si="11"/>
        <v>3709935.5306249987</v>
      </c>
      <c r="Q40" s="19">
        <f>+Q20-Q30</f>
        <v>3660803.5236839997</v>
      </c>
      <c r="R40" s="19">
        <f t="shared" si="12"/>
        <v>3722795.5700101401</v>
      </c>
      <c r="S40" s="1"/>
      <c r="T40" s="102"/>
      <c r="U40" s="102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</row>
    <row r="41" spans="1:70">
      <c r="A41" s="9">
        <f t="shared" si="1"/>
        <v>27</v>
      </c>
      <c r="B41" s="3"/>
      <c r="C41" s="97" t="str">
        <f>+C31</f>
        <v xml:space="preserve">  Common</v>
      </c>
      <c r="D41" s="1" t="str">
        <f t="shared" si="8"/>
        <v>(line 7 - line 17)</v>
      </c>
      <c r="E41" s="19">
        <f t="shared" si="9"/>
        <v>0</v>
      </c>
      <c r="F41" s="19">
        <f t="shared" si="11"/>
        <v>0</v>
      </c>
      <c r="G41" s="19">
        <f t="shared" si="11"/>
        <v>0</v>
      </c>
      <c r="H41" s="19">
        <f t="shared" si="11"/>
        <v>0</v>
      </c>
      <c r="I41" s="19">
        <f t="shared" si="11"/>
        <v>0</v>
      </c>
      <c r="J41" s="19">
        <f t="shared" si="11"/>
        <v>0</v>
      </c>
      <c r="K41" s="19">
        <f t="shared" si="11"/>
        <v>0</v>
      </c>
      <c r="L41" s="19">
        <f t="shared" si="11"/>
        <v>0</v>
      </c>
      <c r="M41" s="19">
        <f t="shared" si="11"/>
        <v>0</v>
      </c>
      <c r="N41" s="19">
        <f t="shared" si="11"/>
        <v>0</v>
      </c>
      <c r="O41" s="19">
        <f t="shared" si="11"/>
        <v>0</v>
      </c>
      <c r="P41" s="19">
        <f t="shared" si="11"/>
        <v>0</v>
      </c>
      <c r="Q41" s="19">
        <f t="shared" si="11"/>
        <v>0</v>
      </c>
      <c r="R41" s="47">
        <f t="shared" si="12"/>
        <v>0</v>
      </c>
      <c r="S41" s="1"/>
      <c r="T41" s="102"/>
      <c r="U41" s="102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</row>
    <row r="42" spans="1:70">
      <c r="A42" s="9">
        <f t="shared" si="1"/>
        <v>28</v>
      </c>
      <c r="B42" s="3"/>
      <c r="C42" s="97" t="s">
        <v>6</v>
      </c>
      <c r="D42" s="1" t="str">
        <f>"(sum lines "&amp;A35&amp;" - "&amp;A41&amp;")"</f>
        <v>(sum lines 21 - 27)</v>
      </c>
      <c r="E42" s="49">
        <f>SUM(E35:E41)</f>
        <v>821284601.40358067</v>
      </c>
      <c r="F42" s="49">
        <f t="shared" ref="F42:Q42" si="13">SUM(F35:F41)</f>
        <v>814502403.37800956</v>
      </c>
      <c r="G42" s="49">
        <f t="shared" si="13"/>
        <v>812741109.01319027</v>
      </c>
      <c r="H42" s="49">
        <f t="shared" si="13"/>
        <v>812190633.04095387</v>
      </c>
      <c r="I42" s="49">
        <f t="shared" si="13"/>
        <v>811052443.27793026</v>
      </c>
      <c r="J42" s="49">
        <f t="shared" si="13"/>
        <v>810014394.81705701</v>
      </c>
      <c r="K42" s="49">
        <f t="shared" si="13"/>
        <v>809425122.74249756</v>
      </c>
      <c r="L42" s="49">
        <f t="shared" si="13"/>
        <v>822711683.86493742</v>
      </c>
      <c r="M42" s="49">
        <f t="shared" si="13"/>
        <v>821895353.10589039</v>
      </c>
      <c r="N42" s="49">
        <f t="shared" si="13"/>
        <v>822305236.85138059</v>
      </c>
      <c r="O42" s="49">
        <f t="shared" si="13"/>
        <v>822341484.59079123</v>
      </c>
      <c r="P42" s="49">
        <f t="shared" si="13"/>
        <v>833264824.42099667</v>
      </c>
      <c r="Q42" s="49">
        <f t="shared" si="13"/>
        <v>838074274.43851829</v>
      </c>
      <c r="R42" s="49">
        <f>SUM(R35:R41)</f>
        <v>819369504.99582577</v>
      </c>
      <c r="S42" s="1"/>
      <c r="T42" s="102"/>
      <c r="U42" s="102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</row>
    <row r="43" spans="1:70">
      <c r="A43" s="9"/>
      <c r="B43" s="3"/>
      <c r="C43" s="97"/>
      <c r="D43" s="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"/>
      <c r="T43" s="102"/>
      <c r="U43" s="102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</row>
    <row r="44" spans="1:70">
      <c r="A44" s="9"/>
      <c r="B44" s="3"/>
      <c r="C44" s="97" t="s">
        <v>413</v>
      </c>
      <c r="D44" s="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"/>
      <c r="T44" s="102"/>
      <c r="U44" s="102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</row>
    <row r="45" spans="1:70" ht="18">
      <c r="A45" s="9"/>
      <c r="B45" s="3"/>
      <c r="C45" s="96" t="s">
        <v>414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02"/>
      <c r="U45" s="102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</row>
    <row r="46" spans="1:70">
      <c r="A46" s="9"/>
      <c r="B46" s="3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102"/>
      <c r="U46" s="102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</row>
    <row r="47" spans="1:70" ht="23.25">
      <c r="A47" s="9"/>
      <c r="B47" s="3"/>
      <c r="C47" s="97"/>
      <c r="D47" s="1"/>
      <c r="E47" s="72" t="s">
        <v>448</v>
      </c>
      <c r="F47" s="1"/>
      <c r="G47" s="1"/>
      <c r="H47" s="92"/>
      <c r="I47" s="97"/>
      <c r="J47" s="1"/>
      <c r="S47" s="1"/>
      <c r="T47" s="102"/>
      <c r="U47" s="102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</row>
    <row r="48" spans="1:70">
      <c r="A48" s="9">
        <f>+A42+1</f>
        <v>29</v>
      </c>
      <c r="B48" s="3"/>
      <c r="C48" s="3"/>
      <c r="D48" s="1"/>
      <c r="E48" s="73" t="s">
        <v>26</v>
      </c>
      <c r="F48" s="73" t="s">
        <v>27</v>
      </c>
      <c r="G48" s="73" t="s">
        <v>28</v>
      </c>
      <c r="H48" s="73"/>
      <c r="I48" s="3"/>
      <c r="J48" s="1"/>
      <c r="S48" s="93"/>
      <c r="T48" s="102"/>
      <c r="U48" s="102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</row>
    <row r="49" spans="1:63">
      <c r="A49" s="9">
        <f t="shared" si="1"/>
        <v>30</v>
      </c>
      <c r="B49" s="3"/>
      <c r="C49" s="96" t="s">
        <v>409</v>
      </c>
      <c r="D49" s="1"/>
      <c r="E49" s="74">
        <v>43070</v>
      </c>
      <c r="F49" s="74">
        <v>43435</v>
      </c>
      <c r="G49" s="1" t="s">
        <v>40</v>
      </c>
      <c r="H49" s="74"/>
      <c r="I49" s="96"/>
      <c r="J49" s="293"/>
      <c r="K49" s="296" t="s">
        <v>473</v>
      </c>
      <c r="L49" s="296"/>
      <c r="S49" s="93"/>
      <c r="T49" s="102"/>
      <c r="U49" s="102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</row>
    <row r="50" spans="1:63">
      <c r="A50" s="9">
        <f t="shared" si="1"/>
        <v>31</v>
      </c>
      <c r="B50" s="3"/>
      <c r="C50" s="97" t="s">
        <v>269</v>
      </c>
      <c r="D50" s="1" t="s">
        <v>401</v>
      </c>
      <c r="E50" s="19">
        <v>0</v>
      </c>
      <c r="F50" s="19">
        <v>0</v>
      </c>
      <c r="G50" s="19">
        <f t="shared" ref="G50:G55" si="14">(+E50+F50)/2</f>
        <v>0</v>
      </c>
      <c r="H50" s="19"/>
      <c r="I50" s="97"/>
      <c r="J50" s="293"/>
      <c r="K50" s="74">
        <v>43070</v>
      </c>
      <c r="L50" s="74">
        <v>43435</v>
      </c>
      <c r="M50" s="19"/>
      <c r="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</row>
    <row r="51" spans="1:63">
      <c r="A51" s="9">
        <f t="shared" si="1"/>
        <v>32</v>
      </c>
      <c r="B51" s="3"/>
      <c r="C51" s="97" t="s">
        <v>270</v>
      </c>
      <c r="D51" s="1" t="s">
        <v>402</v>
      </c>
      <c r="E51" s="19">
        <f>K54</f>
        <v>-120249916.6701429</v>
      </c>
      <c r="F51" s="19">
        <f>L54</f>
        <v>-124694386.48471004</v>
      </c>
      <c r="G51" s="19">
        <f t="shared" si="14"/>
        <v>-122472151.57742646</v>
      </c>
      <c r="H51" s="1"/>
      <c r="I51" s="97"/>
      <c r="J51" s="293"/>
      <c r="K51" s="294">
        <v>0</v>
      </c>
      <c r="L51" s="294">
        <v>0</v>
      </c>
      <c r="M51" s="19"/>
      <c r="S51" s="93"/>
      <c r="T51" s="93"/>
      <c r="U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</row>
    <row r="52" spans="1:63">
      <c r="A52" s="9">
        <f>+A51+1</f>
        <v>33</v>
      </c>
      <c r="B52" s="3"/>
      <c r="C52" s="97" t="s">
        <v>271</v>
      </c>
      <c r="D52" s="1" t="s">
        <v>403</v>
      </c>
      <c r="E52" s="47">
        <v>-18129142</v>
      </c>
      <c r="F52" s="47">
        <v>-18552793</v>
      </c>
      <c r="G52" s="19">
        <f t="shared" si="14"/>
        <v>-18340967.5</v>
      </c>
      <c r="H52" s="1"/>
      <c r="I52" s="97"/>
      <c r="J52" s="293" t="s">
        <v>474</v>
      </c>
      <c r="K52" s="19">
        <v>-118329580</v>
      </c>
      <c r="L52" s="19">
        <v>-122562026</v>
      </c>
      <c r="S52" s="93"/>
      <c r="T52" s="93"/>
      <c r="U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</row>
    <row r="53" spans="1:63">
      <c r="A53" s="9">
        <f>+A52+1</f>
        <v>34</v>
      </c>
      <c r="B53" s="3"/>
      <c r="C53" s="97" t="s">
        <v>273</v>
      </c>
      <c r="D53" s="1" t="s">
        <v>404</v>
      </c>
      <c r="E53" s="47">
        <v>29587154</v>
      </c>
      <c r="F53" s="47">
        <v>30263670</v>
      </c>
      <c r="G53" s="19">
        <f t="shared" si="14"/>
        <v>29925412</v>
      </c>
      <c r="H53" s="1"/>
      <c r="I53" s="97"/>
      <c r="J53" s="296" t="s">
        <v>475</v>
      </c>
      <c r="K53" s="298">
        <v>-1920336.6701429044</v>
      </c>
      <c r="L53" s="298">
        <v>-2132360.4847100317</v>
      </c>
      <c r="M53" s="1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</row>
    <row r="54" spans="1:63">
      <c r="A54" s="9">
        <f>+A53+1</f>
        <v>35</v>
      </c>
      <c r="B54" s="3"/>
      <c r="C54" s="3" t="s">
        <v>272</v>
      </c>
      <c r="D54" s="1" t="s">
        <v>457</v>
      </c>
      <c r="E54" s="47"/>
      <c r="F54" s="47">
        <v>0</v>
      </c>
      <c r="G54" s="19">
        <f t="shared" si="14"/>
        <v>0</v>
      </c>
      <c r="H54" s="1"/>
      <c r="I54" s="1"/>
      <c r="J54" s="296" t="s">
        <v>476</v>
      </c>
      <c r="K54" s="299">
        <f>K52+K53</f>
        <v>-120249916.6701429</v>
      </c>
      <c r="L54" s="299">
        <f>L52+L53</f>
        <v>-124694386.48471004</v>
      </c>
      <c r="M54" s="1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</row>
    <row r="55" spans="1:63" ht="23.25">
      <c r="A55" s="9">
        <f t="shared" si="1"/>
        <v>36</v>
      </c>
      <c r="B55" s="3"/>
      <c r="C55" s="97" t="s">
        <v>292</v>
      </c>
      <c r="D55" s="3" t="s">
        <v>458</v>
      </c>
      <c r="E55" s="98">
        <f>K59</f>
        <v>-94783225.446761936</v>
      </c>
      <c r="F55" s="98">
        <f>L59</f>
        <v>-97973764.446761936</v>
      </c>
      <c r="G55" s="98">
        <f t="shared" si="14"/>
        <v>-96378494.946761936</v>
      </c>
      <c r="H55" s="97"/>
      <c r="J55" s="300"/>
      <c r="K55" s="296"/>
      <c r="L55" s="296"/>
      <c r="M55" s="19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</row>
    <row r="56" spans="1:63">
      <c r="A56" s="9">
        <f t="shared" si="1"/>
        <v>37</v>
      </c>
      <c r="B56" s="3"/>
      <c r="C56" s="97" t="s">
        <v>8</v>
      </c>
      <c r="D56" s="1" t="str">
        <f>"(sum lines "&amp;A50&amp;" - "&amp;A55&amp;")"</f>
        <v>(sum lines 31 - 36)</v>
      </c>
      <c r="E56" s="19">
        <f>SUM(E50:E55)</f>
        <v>-203575130.11690482</v>
      </c>
      <c r="F56" s="19">
        <f>SUM(F50:F55)</f>
        <v>-210957273.93147197</v>
      </c>
      <c r="G56" s="19">
        <f>SUM(G50:G55)</f>
        <v>-207266202.0241884</v>
      </c>
      <c r="H56" s="1"/>
      <c r="I56" s="1"/>
      <c r="J56" s="297"/>
      <c r="K56" s="312" t="s">
        <v>292</v>
      </c>
      <c r="L56" s="312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</row>
    <row r="57" spans="1:63">
      <c r="A57" s="9">
        <f t="shared" si="1"/>
        <v>38</v>
      </c>
      <c r="B57" s="3"/>
      <c r="C57" s="3"/>
      <c r="D57" s="1"/>
      <c r="E57" s="19"/>
      <c r="F57" s="19"/>
      <c r="G57" s="19"/>
      <c r="H57" s="1"/>
      <c r="I57" s="1"/>
      <c r="J57" s="294">
        <v>0</v>
      </c>
      <c r="K57" s="47">
        <v>-93503001</v>
      </c>
      <c r="L57" s="47">
        <v>-96693540</v>
      </c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</row>
    <row r="58" spans="1:63">
      <c r="A58" s="9">
        <f t="shared" si="1"/>
        <v>39</v>
      </c>
      <c r="B58" s="3"/>
      <c r="C58" s="96" t="s">
        <v>230</v>
      </c>
      <c r="D58" s="1" t="s">
        <v>299</v>
      </c>
      <c r="E58" s="19"/>
      <c r="F58" s="19"/>
      <c r="G58" s="19">
        <f>(+E58+F58)/2</f>
        <v>0</v>
      </c>
      <c r="H58" s="1"/>
      <c r="I58" s="1"/>
      <c r="J58" s="293"/>
      <c r="K58" s="302">
        <v>-1280224.4467619362</v>
      </c>
      <c r="L58" s="302">
        <v>-1280224.4467619362</v>
      </c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</row>
    <row r="59" spans="1:63">
      <c r="A59" s="9">
        <f t="shared" si="1"/>
        <v>40</v>
      </c>
      <c r="B59" s="3"/>
      <c r="C59" s="97"/>
      <c r="D59" s="1"/>
      <c r="E59" s="19"/>
      <c r="F59" s="19"/>
      <c r="G59" s="19"/>
      <c r="H59" s="1"/>
      <c r="I59" s="1"/>
      <c r="J59" s="296"/>
      <c r="K59" s="294">
        <f>SUM(K57:K58)</f>
        <v>-94783225.446761936</v>
      </c>
      <c r="L59" s="294">
        <f>SUM(L57:L58)</f>
        <v>-97973764.446761936</v>
      </c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</row>
    <row r="60" spans="1:63">
      <c r="A60" s="9">
        <f t="shared" si="1"/>
        <v>41</v>
      </c>
      <c r="B60" s="3"/>
      <c r="C60" s="97" t="s">
        <v>415</v>
      </c>
      <c r="D60" s="1"/>
      <c r="E60" s="19"/>
      <c r="F60" s="19"/>
      <c r="G60" s="19"/>
      <c r="H60" s="1"/>
      <c r="I60" s="1"/>
      <c r="J60" s="296"/>
      <c r="K60" s="301"/>
      <c r="L60" s="2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</row>
    <row r="61" spans="1:63">
      <c r="A61" s="9">
        <f t="shared" si="1"/>
        <v>42</v>
      </c>
      <c r="B61" s="3"/>
      <c r="C61" s="97"/>
      <c r="D61" s="3"/>
      <c r="E61" s="19"/>
      <c r="F61" s="19"/>
      <c r="G61" s="19"/>
      <c r="H61" s="1"/>
      <c r="I61" s="1"/>
      <c r="J61" s="1"/>
      <c r="K61" s="1"/>
      <c r="L61" s="1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</row>
    <row r="62" spans="1:63">
      <c r="A62" s="9">
        <f t="shared" si="1"/>
        <v>43</v>
      </c>
      <c r="B62" s="3"/>
      <c r="C62" s="97" t="s">
        <v>358</v>
      </c>
      <c r="D62" s="1" t="s">
        <v>134</v>
      </c>
      <c r="E62" s="47">
        <v>4210110</v>
      </c>
      <c r="F62" s="47">
        <v>4426257</v>
      </c>
      <c r="G62" s="19">
        <f>(+E62+F62)/2</f>
        <v>4318183.5</v>
      </c>
      <c r="H62" s="1"/>
      <c r="I62" s="1"/>
      <c r="J62" s="1"/>
      <c r="K62" s="1"/>
      <c r="L62" s="1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</row>
    <row r="63" spans="1:63">
      <c r="A63" s="9">
        <f t="shared" si="1"/>
        <v>44</v>
      </c>
      <c r="B63" s="3"/>
      <c r="C63" s="97" t="s">
        <v>358</v>
      </c>
      <c r="D63" s="1" t="s">
        <v>133</v>
      </c>
      <c r="E63" s="47">
        <v>17641</v>
      </c>
      <c r="F63" s="47">
        <v>13114</v>
      </c>
      <c r="G63" s="19">
        <f>(+E63+F63)/2</f>
        <v>15377.5</v>
      </c>
      <c r="H63" s="1"/>
      <c r="I63" s="1"/>
      <c r="J63" s="1"/>
      <c r="K63" s="1"/>
      <c r="L63" s="1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</row>
    <row r="64" spans="1:63">
      <c r="A64" s="9">
        <f t="shared" si="1"/>
        <v>45</v>
      </c>
      <c r="B64" s="3"/>
      <c r="C64" s="97" t="s">
        <v>274</v>
      </c>
      <c r="D64" s="1" t="s">
        <v>74</v>
      </c>
      <c r="E64" s="47">
        <v>3496663.59</v>
      </c>
      <c r="F64" s="47">
        <v>3149219</v>
      </c>
      <c r="G64" s="19">
        <f>(+E64+F64)/2</f>
        <v>3322941.2949999999</v>
      </c>
      <c r="H64" s="1"/>
      <c r="I64" s="1"/>
      <c r="J64" s="1"/>
      <c r="K64" s="1"/>
      <c r="L64" s="1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</row>
    <row r="65" spans="1:63">
      <c r="A65" s="9">
        <f t="shared" si="1"/>
        <v>46</v>
      </c>
      <c r="B65" s="3"/>
      <c r="C65" s="97" t="s">
        <v>9</v>
      </c>
      <c r="D65" s="1" t="str">
        <f>"(sum lines "&amp;A61&amp;" - "&amp;A64&amp;")"</f>
        <v>(sum lines 42 - 45)</v>
      </c>
      <c r="E65" s="49">
        <f>SUM(E62:E64)</f>
        <v>7724414.5899999999</v>
      </c>
      <c r="F65" s="49">
        <f>SUM(F62:F64)</f>
        <v>7588590</v>
      </c>
      <c r="G65" s="49">
        <f>SUM(G62:G64)</f>
        <v>7656502.2949999999</v>
      </c>
      <c r="H65" s="75"/>
      <c r="I65" s="75"/>
      <c r="J65" s="75"/>
      <c r="K65" s="75"/>
      <c r="L65" s="195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</row>
    <row r="68" spans="1:63" ht="15.75">
      <c r="B68" s="292" t="s">
        <v>463</v>
      </c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</row>
    <row r="69" spans="1:63">
      <c r="B69" s="293"/>
      <c r="C69" s="293" t="s">
        <v>464</v>
      </c>
      <c r="D69" s="293"/>
      <c r="E69" s="294">
        <v>43694318</v>
      </c>
      <c r="F69" s="294">
        <v>44021316.903654873</v>
      </c>
      <c r="G69" s="294">
        <v>44335698.609153129</v>
      </c>
      <c r="H69" s="294">
        <v>44643097.991596259</v>
      </c>
      <c r="I69" s="294">
        <v>45028669.460721269</v>
      </c>
      <c r="J69" s="294">
        <v>45367420.754334979</v>
      </c>
      <c r="K69" s="294">
        <v>45708803.092400201</v>
      </c>
      <c r="L69" s="294">
        <v>46005470.176557012</v>
      </c>
      <c r="M69" s="294">
        <v>46219361.537181139</v>
      </c>
      <c r="N69" s="294">
        <v>46590991.852520026</v>
      </c>
      <c r="O69" s="294">
        <v>46949892.025496669</v>
      </c>
      <c r="P69" s="294">
        <v>47342714.562738881</v>
      </c>
      <c r="Q69" s="294">
        <v>47705701.420000002</v>
      </c>
      <c r="R69" s="294">
        <f t="shared" ref="R69:R79" si="15">AVERAGE(E69:Q69)</f>
        <v>45662573.568181105</v>
      </c>
    </row>
    <row r="70" spans="1:63">
      <c r="B70" s="293"/>
      <c r="C70" s="293" t="s">
        <v>465</v>
      </c>
      <c r="D70" s="293"/>
      <c r="E70" s="294">
        <v>1343922.5208359989</v>
      </c>
      <c r="F70" s="295">
        <v>1353179.3747524989</v>
      </c>
      <c r="G70" s="295">
        <v>1362436.9608564989</v>
      </c>
      <c r="H70" s="295">
        <v>1371704.8462514989</v>
      </c>
      <c r="I70" s="295">
        <v>1380966.4652589988</v>
      </c>
      <c r="J70" s="295">
        <v>1390228.5734334989</v>
      </c>
      <c r="K70" s="295">
        <v>1399492.301080999</v>
      </c>
      <c r="L70" s="295">
        <v>1409412.5984814989</v>
      </c>
      <c r="M70" s="295">
        <v>1419330.5976049989</v>
      </c>
      <c r="N70" s="295">
        <v>1429258.8912524988</v>
      </c>
      <c r="O70" s="295">
        <v>1439183.0194214988</v>
      </c>
      <c r="P70" s="295">
        <v>1449581.0483139989</v>
      </c>
      <c r="Q70" s="295">
        <v>1459988.8314004987</v>
      </c>
      <c r="R70" s="294">
        <f t="shared" si="15"/>
        <v>1400668.1560726913</v>
      </c>
    </row>
    <row r="71" spans="1:63">
      <c r="B71" s="293"/>
      <c r="C71" s="293" t="s">
        <v>466</v>
      </c>
      <c r="D71" s="293"/>
      <c r="E71" s="294">
        <f>E69+E70</f>
        <v>45038240.520835996</v>
      </c>
      <c r="F71" s="294">
        <f t="shared" ref="F71:Q71" si="16">F69+F70</f>
        <v>45374496.278407373</v>
      </c>
      <c r="G71" s="294">
        <f t="shared" si="16"/>
        <v>45698135.570009626</v>
      </c>
      <c r="H71" s="294">
        <f t="shared" si="16"/>
        <v>46014802.837847754</v>
      </c>
      <c r="I71" s="294">
        <f t="shared" si="16"/>
        <v>46409635.92598027</v>
      </c>
      <c r="J71" s="294">
        <f t="shared" si="16"/>
        <v>46757649.327768475</v>
      </c>
      <c r="K71" s="294">
        <f t="shared" si="16"/>
        <v>47108295.393481202</v>
      </c>
      <c r="L71" s="294">
        <f t="shared" si="16"/>
        <v>47414882.775038511</v>
      </c>
      <c r="M71" s="294">
        <f t="shared" si="16"/>
        <v>47638692.134786136</v>
      </c>
      <c r="N71" s="294">
        <f t="shared" si="16"/>
        <v>48020250.743772522</v>
      </c>
      <c r="O71" s="294">
        <f t="shared" si="16"/>
        <v>48389075.044918165</v>
      </c>
      <c r="P71" s="294">
        <f t="shared" si="16"/>
        <v>48792295.611052878</v>
      </c>
      <c r="Q71" s="294">
        <f t="shared" si="16"/>
        <v>49165690.251400501</v>
      </c>
      <c r="R71" s="294">
        <f t="shared" si="15"/>
        <v>47063241.724253803</v>
      </c>
    </row>
    <row r="72" spans="1:63"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</row>
    <row r="73" spans="1:63">
      <c r="B73" s="293"/>
      <c r="C73" s="293" t="s">
        <v>467</v>
      </c>
      <c r="D73" s="293"/>
      <c r="E73" s="294">
        <v>17944745.93</v>
      </c>
      <c r="F73" s="294">
        <v>17446453.91736982</v>
      </c>
      <c r="G73" s="294">
        <v>17542753.179069623</v>
      </c>
      <c r="H73" s="294">
        <v>17578739.815689102</v>
      </c>
      <c r="I73" s="294">
        <v>17686576.681872834</v>
      </c>
      <c r="J73" s="294">
        <v>17795898.066605091</v>
      </c>
      <c r="K73" s="294">
        <v>17670944.696190093</v>
      </c>
      <c r="L73" s="294">
        <v>17716989.216611594</v>
      </c>
      <c r="M73" s="294">
        <v>17946927.189431105</v>
      </c>
      <c r="N73" s="294">
        <v>17973806.511934586</v>
      </c>
      <c r="O73" s="294">
        <v>18069474.801516704</v>
      </c>
      <c r="P73" s="294">
        <v>18183513.50272388</v>
      </c>
      <c r="Q73" s="294">
        <v>18229100.984651692</v>
      </c>
      <c r="R73" s="294">
        <f t="shared" si="15"/>
        <v>17829686.499512777</v>
      </c>
    </row>
    <row r="74" spans="1:63">
      <c r="B74" s="293"/>
      <c r="C74" s="293" t="s">
        <v>468</v>
      </c>
      <c r="D74" s="293"/>
      <c r="E74" s="294">
        <v>6548703.5719031636</v>
      </c>
      <c r="F74" s="294">
        <v>6609719.1956079137</v>
      </c>
      <c r="G74" s="294">
        <v>6670749.192301414</v>
      </c>
      <c r="H74" s="294">
        <v>6731718.784162581</v>
      </c>
      <c r="I74" s="294">
        <v>6792789.8375475807</v>
      </c>
      <c r="J74" s="294">
        <v>6853979.2844154136</v>
      </c>
      <c r="K74" s="294">
        <v>6914825.1265011635</v>
      </c>
      <c r="L74" s="294">
        <v>6975673.7872853298</v>
      </c>
      <c r="M74" s="294">
        <v>7037346.9203566629</v>
      </c>
      <c r="N74" s="294">
        <v>7099559.2883684132</v>
      </c>
      <c r="O74" s="294">
        <v>7162254.8525413303</v>
      </c>
      <c r="P74" s="294">
        <v>7225981.2448920803</v>
      </c>
      <c r="Q74" s="294">
        <v>7294155.7585217468</v>
      </c>
      <c r="R74" s="294">
        <f t="shared" si="15"/>
        <v>6916727.4495695988</v>
      </c>
    </row>
    <row r="75" spans="1:63">
      <c r="B75" s="293"/>
      <c r="C75" s="293" t="s">
        <v>469</v>
      </c>
      <c r="D75" s="293"/>
      <c r="E75" s="294">
        <f>E73+E74</f>
        <v>24493449.501903161</v>
      </c>
      <c r="F75" s="294">
        <f t="shared" ref="F75:Q75" si="17">F73+F74</f>
        <v>24056173.112977736</v>
      </c>
      <c r="G75" s="294">
        <f t="shared" si="17"/>
        <v>24213502.371371038</v>
      </c>
      <c r="H75" s="294">
        <f t="shared" si="17"/>
        <v>24310458.599851683</v>
      </c>
      <c r="I75" s="294">
        <f t="shared" si="17"/>
        <v>24479366.519420415</v>
      </c>
      <c r="J75" s="294">
        <f t="shared" si="17"/>
        <v>24649877.351020504</v>
      </c>
      <c r="K75" s="294">
        <f t="shared" si="17"/>
        <v>24585769.822691254</v>
      </c>
      <c r="L75" s="294">
        <f t="shared" si="17"/>
        <v>24692663.003896922</v>
      </c>
      <c r="M75" s="294">
        <f t="shared" si="17"/>
        <v>24984274.10978777</v>
      </c>
      <c r="N75" s="294">
        <f t="shared" si="17"/>
        <v>25073365.800302997</v>
      </c>
      <c r="O75" s="294">
        <f t="shared" si="17"/>
        <v>25231729.654058035</v>
      </c>
      <c r="P75" s="294">
        <f t="shared" si="17"/>
        <v>25409494.747615959</v>
      </c>
      <c r="Q75" s="294">
        <f t="shared" si="17"/>
        <v>25523256.743173439</v>
      </c>
      <c r="R75" s="294">
        <f t="shared" si="15"/>
        <v>24746413.949082375</v>
      </c>
    </row>
    <row r="76" spans="1:63">
      <c r="B76" s="293"/>
      <c r="C76" s="293"/>
      <c r="D76" s="293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</row>
    <row r="77" spans="1:63">
      <c r="B77" s="293"/>
      <c r="C77" s="293" t="s">
        <v>470</v>
      </c>
      <c r="D77" s="293"/>
      <c r="E77" s="294">
        <v>2450694.38</v>
      </c>
      <c r="F77" s="294">
        <v>2484734.08</v>
      </c>
      <c r="G77" s="294">
        <v>2519939.67</v>
      </c>
      <c r="H77" s="294">
        <v>2555148.14</v>
      </c>
      <c r="I77" s="294">
        <v>2590355.5499999998</v>
      </c>
      <c r="J77" s="294">
        <v>2625568.62</v>
      </c>
      <c r="K77" s="294">
        <v>2650900.9700000002</v>
      </c>
      <c r="L77" s="294">
        <v>2678355.67</v>
      </c>
      <c r="M77" s="294">
        <v>2714706.11</v>
      </c>
      <c r="N77" s="294">
        <v>2751051.02</v>
      </c>
      <c r="O77" s="294">
        <v>2787395.19</v>
      </c>
      <c r="P77" s="294">
        <v>2823829.4000000004</v>
      </c>
      <c r="Q77" s="294">
        <v>2860353.6399999997</v>
      </c>
      <c r="R77" s="294">
        <f t="shared" si="15"/>
        <v>2653310.1876923074</v>
      </c>
    </row>
    <row r="78" spans="1:63">
      <c r="B78" s="293"/>
      <c r="C78" s="293" t="s">
        <v>471</v>
      </c>
      <c r="D78" s="293"/>
      <c r="E78" s="294">
        <v>1251834.2412746674</v>
      </c>
      <c r="F78" s="294">
        <v>1263957.096954084</v>
      </c>
      <c r="G78" s="294">
        <v>1276083.3557282507</v>
      </c>
      <c r="H78" s="294">
        <v>1288208.4158978341</v>
      </c>
      <c r="I78" s="294">
        <v>1300333.866200834</v>
      </c>
      <c r="J78" s="294">
        <v>1312463.2504353342</v>
      </c>
      <c r="K78" s="294">
        <v>1324576.9286284174</v>
      </c>
      <c r="L78" s="294">
        <v>1337119.9503257507</v>
      </c>
      <c r="M78" s="294">
        <v>1349659.4700540008</v>
      </c>
      <c r="N78" s="294">
        <v>1362198.4462440009</v>
      </c>
      <c r="O78" s="294">
        <v>1374737.422434001</v>
      </c>
      <c r="P78" s="294">
        <v>1387345.189375001</v>
      </c>
      <c r="Q78" s="294">
        <v>1399952.956316001</v>
      </c>
      <c r="R78" s="294">
        <f t="shared" si="15"/>
        <v>1325266.9684513982</v>
      </c>
    </row>
    <row r="79" spans="1:63">
      <c r="B79" s="293"/>
      <c r="C79" s="293" t="s">
        <v>472</v>
      </c>
      <c r="D79" s="293"/>
      <c r="E79" s="294">
        <f t="shared" ref="E79:Q79" si="18">E77+E78</f>
        <v>3702528.6212746673</v>
      </c>
      <c r="F79" s="294">
        <f t="shared" si="18"/>
        <v>3748691.1769540841</v>
      </c>
      <c r="G79" s="294">
        <f t="shared" si="18"/>
        <v>3796023.0257282509</v>
      </c>
      <c r="H79" s="294">
        <f t="shared" si="18"/>
        <v>3843356.5558978342</v>
      </c>
      <c r="I79" s="294">
        <f t="shared" si="18"/>
        <v>3890689.4162008339</v>
      </c>
      <c r="J79" s="294">
        <f t="shared" si="18"/>
        <v>3938031.8704353343</v>
      </c>
      <c r="K79" s="294">
        <f t="shared" si="18"/>
        <v>3975477.8986284174</v>
      </c>
      <c r="L79" s="294">
        <f t="shared" si="18"/>
        <v>4015475.6203257507</v>
      </c>
      <c r="M79" s="294">
        <f t="shared" si="18"/>
        <v>4064365.580054001</v>
      </c>
      <c r="N79" s="294">
        <f t="shared" si="18"/>
        <v>4113249.4662440009</v>
      </c>
      <c r="O79" s="294">
        <f t="shared" si="18"/>
        <v>4162132.6124340007</v>
      </c>
      <c r="P79" s="294">
        <f t="shared" si="18"/>
        <v>4211174.5893750014</v>
      </c>
      <c r="Q79" s="294">
        <f t="shared" si="18"/>
        <v>4260306.5963160004</v>
      </c>
      <c r="R79" s="294">
        <f t="shared" si="15"/>
        <v>3978577.1561437058</v>
      </c>
    </row>
  </sheetData>
  <mergeCells count="11">
    <mergeCell ref="V11:W11"/>
    <mergeCell ref="V12:W12"/>
    <mergeCell ref="K56:L56"/>
    <mergeCell ref="X12:Y12"/>
    <mergeCell ref="X11:Y11"/>
    <mergeCell ref="A4:I4"/>
    <mergeCell ref="A5:I5"/>
    <mergeCell ref="A7:I7"/>
    <mergeCell ref="J4:R4"/>
    <mergeCell ref="J5:R5"/>
    <mergeCell ref="J7:R7"/>
  </mergeCells>
  <phoneticPr fontId="21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206"/>
  <sheetViews>
    <sheetView topLeftCell="A4" zoomScaleNormal="100" workbookViewId="0">
      <selection activeCell="H30" sqref="H30"/>
    </sheetView>
  </sheetViews>
  <sheetFormatPr defaultColWidth="7.109375" defaultRowHeight="12.75"/>
  <cols>
    <col min="1" max="1" width="4.77734375" style="30" customWidth="1"/>
    <col min="2" max="2" width="15.6640625" style="30" customWidth="1"/>
    <col min="3" max="3" width="7.109375" style="30" customWidth="1"/>
    <col min="4" max="4" width="8.77734375" style="30" customWidth="1"/>
    <col min="5" max="5" width="7.88671875" style="30" customWidth="1"/>
    <col min="6" max="6" width="7.6640625" style="30" customWidth="1"/>
    <col min="7" max="7" width="10.33203125" style="30" customWidth="1"/>
    <col min="8" max="8" width="13" style="30" customWidth="1"/>
    <col min="9" max="9" width="11.77734375" style="30" customWidth="1"/>
    <col min="10" max="10" width="11.21875" style="30" customWidth="1"/>
    <col min="11" max="11" width="8" style="30" customWidth="1"/>
    <col min="12" max="16384" width="7.109375" style="30"/>
  </cols>
  <sheetData>
    <row r="1" spans="1:11">
      <c r="K1" s="160"/>
    </row>
    <row r="2" spans="1:11">
      <c r="B2" s="104"/>
      <c r="C2" s="8"/>
      <c r="D2" s="8"/>
      <c r="E2" s="8"/>
      <c r="F2" s="8"/>
      <c r="G2" s="8"/>
      <c r="H2" s="8"/>
      <c r="J2" s="82" t="str">
        <f>+'CU AC Rate Design - True-Up'!H1</f>
        <v>Date: May 31, 2019</v>
      </c>
    </row>
    <row r="3" spans="1:11" ht="15" customHeight="1">
      <c r="A3" s="304" t="s">
        <v>360</v>
      </c>
      <c r="B3" s="304"/>
      <c r="C3" s="304"/>
      <c r="D3" s="304"/>
      <c r="E3" s="304"/>
      <c r="F3" s="304"/>
      <c r="G3" s="304"/>
      <c r="H3" s="304"/>
      <c r="I3" s="304"/>
      <c r="J3" s="304"/>
    </row>
    <row r="4" spans="1:11" ht="15" customHeight="1">
      <c r="A4" s="304" t="s">
        <v>77</v>
      </c>
      <c r="B4" s="304"/>
      <c r="C4" s="304"/>
      <c r="D4" s="304"/>
      <c r="E4" s="304"/>
      <c r="F4" s="304"/>
      <c r="G4" s="304"/>
      <c r="H4" s="304"/>
      <c r="I4" s="304"/>
      <c r="J4" s="304"/>
    </row>
    <row r="5" spans="1:11">
      <c r="B5" s="104"/>
      <c r="C5" s="8"/>
      <c r="D5" s="106"/>
      <c r="E5" s="8"/>
      <c r="G5" s="8"/>
      <c r="H5" s="8"/>
      <c r="I5" s="8"/>
      <c r="J5" s="8"/>
    </row>
    <row r="6" spans="1:11" ht="18.75">
      <c r="A6" s="161" t="s">
        <v>196</v>
      </c>
      <c r="B6" s="104"/>
      <c r="C6" s="8"/>
      <c r="D6" s="314" t="s">
        <v>449</v>
      </c>
      <c r="E6" s="315"/>
      <c r="F6" s="315"/>
      <c r="G6" s="315"/>
      <c r="H6" s="316"/>
      <c r="I6" s="8"/>
      <c r="J6" s="8"/>
    </row>
    <row r="7" spans="1:11" ht="13.5" thickBot="1">
      <c r="A7" s="162" t="s">
        <v>197</v>
      </c>
    </row>
    <row r="8" spans="1:11" ht="15">
      <c r="A8" s="56">
        <v>1</v>
      </c>
      <c r="B8" s="163"/>
      <c r="C8" s="11"/>
      <c r="D8" s="21" t="s">
        <v>69</v>
      </c>
      <c r="E8" s="10" t="s">
        <v>94</v>
      </c>
      <c r="F8" s="10" t="s">
        <v>95</v>
      </c>
      <c r="G8" s="11" t="s">
        <v>96</v>
      </c>
      <c r="H8" s="21" t="s">
        <v>139</v>
      </c>
      <c r="I8" s="21" t="s">
        <v>1</v>
      </c>
      <c r="J8" s="10" t="s">
        <v>326</v>
      </c>
      <c r="K8" s="76"/>
    </row>
    <row r="9" spans="1:11" ht="15">
      <c r="A9" s="56">
        <f>A8+1</f>
        <v>2</v>
      </c>
      <c r="B9" s="164"/>
      <c r="C9" s="13"/>
      <c r="D9" s="12" t="s">
        <v>326</v>
      </c>
      <c r="E9" s="12" t="s">
        <v>326</v>
      </c>
      <c r="F9" s="12" t="s">
        <v>97</v>
      </c>
      <c r="G9" s="13" t="s">
        <v>98</v>
      </c>
      <c r="H9" s="14" t="s">
        <v>140</v>
      </c>
      <c r="I9" s="14" t="s">
        <v>2</v>
      </c>
      <c r="J9" s="14" t="s">
        <v>109</v>
      </c>
      <c r="K9" s="76"/>
    </row>
    <row r="10" spans="1:11" ht="15.75" thickBot="1">
      <c r="A10" s="56">
        <f t="shared" ref="A10:A47" si="0">A9+1</f>
        <v>3</v>
      </c>
      <c r="B10" s="165"/>
      <c r="C10" s="16"/>
      <c r="D10" s="15" t="s">
        <v>99</v>
      </c>
      <c r="E10" s="12" t="s">
        <v>99</v>
      </c>
      <c r="F10" s="15" t="s">
        <v>99</v>
      </c>
      <c r="G10" s="16" t="s">
        <v>99</v>
      </c>
      <c r="H10" s="22" t="s">
        <v>99</v>
      </c>
      <c r="I10" s="22" t="s">
        <v>99</v>
      </c>
      <c r="J10" s="14" t="s">
        <v>110</v>
      </c>
      <c r="K10" s="76"/>
    </row>
    <row r="11" spans="1:11" ht="15">
      <c r="A11" s="56">
        <f t="shared" si="0"/>
        <v>4</v>
      </c>
      <c r="B11" s="23" t="s">
        <v>159</v>
      </c>
      <c r="C11" s="24"/>
      <c r="D11" s="163">
        <v>305</v>
      </c>
      <c r="E11" s="77">
        <v>361</v>
      </c>
      <c r="F11" s="166">
        <v>2</v>
      </c>
      <c r="G11" s="77">
        <v>56</v>
      </c>
      <c r="H11" s="11">
        <v>260</v>
      </c>
      <c r="I11" s="163">
        <v>80</v>
      </c>
      <c r="J11" s="77">
        <f>SUM(D11:I11)</f>
        <v>1064</v>
      </c>
      <c r="K11" s="76"/>
    </row>
    <row r="12" spans="1:11" ht="15">
      <c r="A12" s="56">
        <f t="shared" si="0"/>
        <v>5</v>
      </c>
      <c r="B12" s="23" t="s">
        <v>179</v>
      </c>
      <c r="C12" s="25"/>
      <c r="D12" s="164">
        <v>279</v>
      </c>
      <c r="E12" s="78">
        <v>337</v>
      </c>
      <c r="F12" s="167">
        <v>3</v>
      </c>
      <c r="G12" s="78">
        <v>52</v>
      </c>
      <c r="H12" s="13">
        <v>260</v>
      </c>
      <c r="I12" s="164">
        <v>80</v>
      </c>
      <c r="J12" s="78">
        <f t="shared" ref="J12:J21" si="1">SUM(D12:I12)</f>
        <v>1011</v>
      </c>
      <c r="K12" s="76"/>
    </row>
    <row r="13" spans="1:11" ht="15">
      <c r="A13" s="56">
        <f t="shared" si="0"/>
        <v>6</v>
      </c>
      <c r="B13" s="23" t="s">
        <v>180</v>
      </c>
      <c r="C13" s="25"/>
      <c r="D13" s="164">
        <v>245</v>
      </c>
      <c r="E13" s="78">
        <v>334</v>
      </c>
      <c r="F13" s="167">
        <v>2</v>
      </c>
      <c r="G13" s="78">
        <v>42</v>
      </c>
      <c r="H13" s="13">
        <v>260</v>
      </c>
      <c r="I13" s="164">
        <v>80</v>
      </c>
      <c r="J13" s="78">
        <f t="shared" si="1"/>
        <v>963</v>
      </c>
      <c r="K13" s="76"/>
    </row>
    <row r="14" spans="1:11" ht="15">
      <c r="A14" s="56">
        <f t="shared" si="0"/>
        <v>7</v>
      </c>
      <c r="B14" s="23" t="s">
        <v>190</v>
      </c>
      <c r="C14" s="25"/>
      <c r="D14" s="164">
        <v>249</v>
      </c>
      <c r="E14" s="78">
        <v>302</v>
      </c>
      <c r="F14" s="167">
        <v>3</v>
      </c>
      <c r="G14" s="78">
        <v>43</v>
      </c>
      <c r="H14" s="13">
        <v>260</v>
      </c>
      <c r="I14" s="164">
        <v>80</v>
      </c>
      <c r="J14" s="78">
        <f t="shared" si="1"/>
        <v>937</v>
      </c>
      <c r="K14" s="76"/>
    </row>
    <row r="15" spans="1:11" ht="15">
      <c r="A15" s="56">
        <f t="shared" si="0"/>
        <v>8</v>
      </c>
      <c r="B15" s="23" t="s">
        <v>191</v>
      </c>
      <c r="C15" s="25"/>
      <c r="D15" s="164">
        <v>299</v>
      </c>
      <c r="E15" s="78">
        <v>241</v>
      </c>
      <c r="F15" s="167">
        <v>3</v>
      </c>
      <c r="G15" s="78">
        <v>50</v>
      </c>
      <c r="H15" s="13">
        <v>260</v>
      </c>
      <c r="I15" s="164">
        <v>80</v>
      </c>
      <c r="J15" s="78">
        <f t="shared" si="1"/>
        <v>933</v>
      </c>
      <c r="K15" s="76"/>
    </row>
    <row r="16" spans="1:11" ht="15">
      <c r="A16" s="56">
        <f t="shared" si="0"/>
        <v>9</v>
      </c>
      <c r="B16" s="23" t="s">
        <v>192</v>
      </c>
      <c r="C16" s="25"/>
      <c r="D16" s="164">
        <v>322</v>
      </c>
      <c r="E16" s="78">
        <v>265</v>
      </c>
      <c r="F16" s="167">
        <v>4</v>
      </c>
      <c r="G16" s="78">
        <v>69</v>
      </c>
      <c r="H16" s="13">
        <v>255</v>
      </c>
      <c r="I16" s="164">
        <v>80</v>
      </c>
      <c r="J16" s="78">
        <f t="shared" si="1"/>
        <v>995</v>
      </c>
      <c r="K16" s="76"/>
    </row>
    <row r="17" spans="1:12" ht="15">
      <c r="A17" s="56">
        <f t="shared" si="0"/>
        <v>10</v>
      </c>
      <c r="B17" s="23" t="s">
        <v>181</v>
      </c>
      <c r="C17" s="25"/>
      <c r="D17" s="164">
        <v>352</v>
      </c>
      <c r="E17" s="78">
        <v>250</v>
      </c>
      <c r="F17" s="167">
        <v>4</v>
      </c>
      <c r="G17" s="78">
        <v>74</v>
      </c>
      <c r="H17" s="13">
        <v>255</v>
      </c>
      <c r="I17" s="164">
        <v>80</v>
      </c>
      <c r="J17" s="78">
        <f t="shared" si="1"/>
        <v>1015</v>
      </c>
      <c r="K17" s="76"/>
    </row>
    <row r="18" spans="1:12" ht="15">
      <c r="A18" s="56">
        <f t="shared" si="0"/>
        <v>11</v>
      </c>
      <c r="B18" s="23" t="s">
        <v>156</v>
      </c>
      <c r="C18" s="25"/>
      <c r="D18" s="164">
        <v>325</v>
      </c>
      <c r="E18" s="78">
        <v>268</v>
      </c>
      <c r="F18" s="167">
        <v>3</v>
      </c>
      <c r="G18" s="78">
        <v>62</v>
      </c>
      <c r="H18" s="13">
        <v>255</v>
      </c>
      <c r="I18" s="164">
        <v>80</v>
      </c>
      <c r="J18" s="78">
        <f t="shared" si="1"/>
        <v>993</v>
      </c>
      <c r="K18" s="76"/>
    </row>
    <row r="19" spans="1:12" ht="15">
      <c r="A19" s="56">
        <f t="shared" si="0"/>
        <v>12</v>
      </c>
      <c r="B19" s="23" t="s">
        <v>182</v>
      </c>
      <c r="C19" s="25"/>
      <c r="D19" s="164">
        <v>244</v>
      </c>
      <c r="E19" s="78">
        <v>257</v>
      </c>
      <c r="F19" s="167">
        <v>3</v>
      </c>
      <c r="G19" s="78">
        <v>45</v>
      </c>
      <c r="H19" s="13">
        <v>255</v>
      </c>
      <c r="I19" s="164">
        <v>80</v>
      </c>
      <c r="J19" s="78">
        <f t="shared" si="1"/>
        <v>884</v>
      </c>
      <c r="K19" s="76"/>
    </row>
    <row r="20" spans="1:12" ht="15">
      <c r="A20" s="56">
        <f t="shared" si="0"/>
        <v>13</v>
      </c>
      <c r="B20" s="23" t="s">
        <v>157</v>
      </c>
      <c r="C20" s="25"/>
      <c r="D20" s="164">
        <v>215</v>
      </c>
      <c r="E20" s="78">
        <v>265</v>
      </c>
      <c r="F20" s="167">
        <v>3</v>
      </c>
      <c r="G20" s="78">
        <v>38</v>
      </c>
      <c r="H20" s="13">
        <v>255</v>
      </c>
      <c r="I20" s="164">
        <v>80</v>
      </c>
      <c r="J20" s="78">
        <f t="shared" si="1"/>
        <v>856</v>
      </c>
      <c r="K20" s="76"/>
    </row>
    <row r="21" spans="1:12" ht="15">
      <c r="A21" s="56">
        <f t="shared" si="0"/>
        <v>14</v>
      </c>
      <c r="B21" s="23" t="s">
        <v>158</v>
      </c>
      <c r="C21" s="25"/>
      <c r="D21" s="164">
        <v>236</v>
      </c>
      <c r="E21" s="78">
        <v>307</v>
      </c>
      <c r="F21" s="167">
        <v>3</v>
      </c>
      <c r="G21" s="78">
        <v>42</v>
      </c>
      <c r="H21" s="13">
        <v>255</v>
      </c>
      <c r="I21" s="164">
        <v>80</v>
      </c>
      <c r="J21" s="78">
        <f t="shared" si="1"/>
        <v>923</v>
      </c>
      <c r="K21" s="76"/>
    </row>
    <row r="22" spans="1:12" ht="15.75" thickBot="1">
      <c r="A22" s="56">
        <f t="shared" si="0"/>
        <v>15</v>
      </c>
      <c r="B22" s="26" t="s">
        <v>183</v>
      </c>
      <c r="C22" s="27"/>
      <c r="D22" s="165">
        <v>287</v>
      </c>
      <c r="E22" s="79">
        <v>321</v>
      </c>
      <c r="F22" s="168">
        <v>2</v>
      </c>
      <c r="G22" s="79">
        <v>49</v>
      </c>
      <c r="H22" s="168">
        <v>255</v>
      </c>
      <c r="I22" s="165">
        <v>80</v>
      </c>
      <c r="J22" s="79">
        <f>SUM(D22:I22)</f>
        <v>994</v>
      </c>
      <c r="K22" s="76"/>
    </row>
    <row r="23" spans="1:12" ht="15.75" thickBot="1">
      <c r="A23" s="56">
        <f t="shared" si="0"/>
        <v>16</v>
      </c>
      <c r="B23" s="169"/>
      <c r="C23" s="25"/>
      <c r="D23" s="17"/>
      <c r="E23" s="17"/>
      <c r="F23" s="17"/>
      <c r="G23" s="12"/>
      <c r="H23" s="13"/>
      <c r="I23" s="15"/>
      <c r="J23" s="17"/>
      <c r="K23" s="76"/>
    </row>
    <row r="24" spans="1:12" ht="15.75" thickBot="1">
      <c r="A24" s="56">
        <f t="shared" si="0"/>
        <v>17</v>
      </c>
      <c r="B24" s="170" t="s">
        <v>118</v>
      </c>
      <c r="C24" s="171"/>
      <c r="D24" s="100">
        <f t="shared" ref="D24:J24" si="2">SUM(D11:D22)/12</f>
        <v>279.83333333333331</v>
      </c>
      <c r="E24" s="18">
        <f t="shared" si="2"/>
        <v>292.33333333333331</v>
      </c>
      <c r="F24" s="172">
        <f t="shared" si="2"/>
        <v>2.9166666666666665</v>
      </c>
      <c r="G24" s="18">
        <f t="shared" si="2"/>
        <v>51.833333333333336</v>
      </c>
      <c r="H24" s="173">
        <f t="shared" si="2"/>
        <v>257.08333333333331</v>
      </c>
      <c r="I24" s="100">
        <f t="shared" si="2"/>
        <v>80</v>
      </c>
      <c r="J24" s="18">
        <f t="shared" si="2"/>
        <v>964</v>
      </c>
      <c r="K24" s="76"/>
    </row>
    <row r="25" spans="1:12">
      <c r="A25" s="56">
        <f t="shared" si="0"/>
        <v>18</v>
      </c>
    </row>
    <row r="26" spans="1:12" ht="18.75">
      <c r="A26" s="56">
        <f t="shared" si="0"/>
        <v>19</v>
      </c>
      <c r="B26" s="104"/>
      <c r="C26" s="8"/>
      <c r="D26" s="314" t="s">
        <v>450</v>
      </c>
      <c r="E26" s="315"/>
      <c r="F26" s="315"/>
      <c r="G26" s="315"/>
      <c r="H26" s="316"/>
      <c r="I26" s="8"/>
    </row>
    <row r="27" spans="1:12" ht="13.5" thickBot="1">
      <c r="A27" s="56">
        <f t="shared" si="0"/>
        <v>20</v>
      </c>
    </row>
    <row r="28" spans="1:12">
      <c r="A28" s="56">
        <f t="shared" si="0"/>
        <v>21</v>
      </c>
      <c r="B28" s="163"/>
      <c r="C28" s="11"/>
      <c r="D28" s="21" t="s">
        <v>69</v>
      </c>
      <c r="E28" s="10" t="s">
        <v>94</v>
      </c>
      <c r="F28" s="10" t="s">
        <v>95</v>
      </c>
      <c r="G28" s="11" t="s">
        <v>96</v>
      </c>
      <c r="H28" s="21" t="s">
        <v>139</v>
      </c>
      <c r="I28" s="21" t="s">
        <v>1</v>
      </c>
      <c r="J28" s="10" t="s">
        <v>326</v>
      </c>
    </row>
    <row r="29" spans="1:12">
      <c r="A29" s="56">
        <f t="shared" si="0"/>
        <v>22</v>
      </c>
      <c r="B29" s="164"/>
      <c r="C29" s="13"/>
      <c r="D29" s="12" t="s">
        <v>326</v>
      </c>
      <c r="E29" s="12" t="s">
        <v>326</v>
      </c>
      <c r="F29" s="12" t="s">
        <v>97</v>
      </c>
      <c r="G29" s="13" t="s">
        <v>98</v>
      </c>
      <c r="H29" s="14" t="s">
        <v>140</v>
      </c>
      <c r="I29" s="14" t="s">
        <v>2</v>
      </c>
      <c r="J29" s="14" t="s">
        <v>109</v>
      </c>
    </row>
    <row r="30" spans="1:12" ht="13.5" thickBot="1">
      <c r="A30" s="56">
        <f t="shared" si="0"/>
        <v>23</v>
      </c>
      <c r="B30" s="165"/>
      <c r="C30" s="16"/>
      <c r="D30" s="15" t="s">
        <v>99</v>
      </c>
      <c r="E30" s="12" t="s">
        <v>99</v>
      </c>
      <c r="F30" s="15" t="s">
        <v>99</v>
      </c>
      <c r="G30" s="16" t="s">
        <v>99</v>
      </c>
      <c r="H30" s="22" t="s">
        <v>99</v>
      </c>
      <c r="I30" s="22" t="s">
        <v>99</v>
      </c>
      <c r="J30" s="22" t="s">
        <v>110</v>
      </c>
    </row>
    <row r="31" spans="1:12">
      <c r="A31" s="56">
        <f t="shared" si="0"/>
        <v>24</v>
      </c>
      <c r="B31" s="23" t="s">
        <v>159</v>
      </c>
      <c r="C31" s="24"/>
      <c r="D31" s="174">
        <v>284</v>
      </c>
      <c r="E31" s="77">
        <v>335.32</v>
      </c>
      <c r="F31" s="166">
        <v>2</v>
      </c>
      <c r="G31" s="77">
        <v>55.666666666666664</v>
      </c>
      <c r="H31" s="11">
        <v>260</v>
      </c>
      <c r="I31" s="163">
        <v>80</v>
      </c>
      <c r="J31" s="77">
        <f>SUM(D31:I31)</f>
        <v>1016.9866666666666</v>
      </c>
      <c r="K31" s="25"/>
      <c r="L31" s="175"/>
    </row>
    <row r="32" spans="1:12">
      <c r="A32" s="56">
        <f t="shared" si="0"/>
        <v>25</v>
      </c>
      <c r="B32" s="23" t="s">
        <v>179</v>
      </c>
      <c r="C32" s="25"/>
      <c r="D32" s="176">
        <v>292</v>
      </c>
      <c r="E32" s="78">
        <v>314.11</v>
      </c>
      <c r="F32" s="167">
        <v>2</v>
      </c>
      <c r="G32" s="78">
        <v>53</v>
      </c>
      <c r="H32" s="13">
        <v>260</v>
      </c>
      <c r="I32" s="164">
        <v>80</v>
      </c>
      <c r="J32" s="78">
        <f t="shared" ref="J32:J41" si="3">SUM(D32:I32)</f>
        <v>1001.11</v>
      </c>
      <c r="K32" s="25"/>
    </row>
    <row r="33" spans="1:11">
      <c r="A33" s="56">
        <f t="shared" si="0"/>
        <v>26</v>
      </c>
      <c r="B33" s="23" t="s">
        <v>180</v>
      </c>
      <c r="C33" s="25"/>
      <c r="D33" s="176">
        <v>269</v>
      </c>
      <c r="E33" s="78">
        <v>287.85000000000002</v>
      </c>
      <c r="F33" s="167">
        <v>2</v>
      </c>
      <c r="G33" s="78">
        <v>46.333333333333336</v>
      </c>
      <c r="H33" s="13">
        <v>260</v>
      </c>
      <c r="I33" s="164">
        <v>80</v>
      </c>
      <c r="J33" s="78">
        <f t="shared" si="3"/>
        <v>945.18333333333339</v>
      </c>
      <c r="K33" s="25"/>
    </row>
    <row r="34" spans="1:11">
      <c r="A34" s="56">
        <f t="shared" si="0"/>
        <v>27</v>
      </c>
      <c r="B34" s="23" t="s">
        <v>190</v>
      </c>
      <c r="C34" s="25"/>
      <c r="D34" s="176">
        <v>250</v>
      </c>
      <c r="E34" s="78">
        <v>252.5</v>
      </c>
      <c r="F34" s="167">
        <v>3</v>
      </c>
      <c r="G34" s="78">
        <v>38.666666666666664</v>
      </c>
      <c r="H34" s="13">
        <v>260</v>
      </c>
      <c r="I34" s="164">
        <v>80</v>
      </c>
      <c r="J34" s="78">
        <f t="shared" si="3"/>
        <v>884.16666666666663</v>
      </c>
      <c r="K34" s="25"/>
    </row>
    <row r="35" spans="1:11">
      <c r="A35" s="56">
        <f t="shared" si="0"/>
        <v>28</v>
      </c>
      <c r="B35" s="23" t="s">
        <v>191</v>
      </c>
      <c r="C35" s="25"/>
      <c r="D35" s="176">
        <v>231</v>
      </c>
      <c r="E35" s="78">
        <v>211.09</v>
      </c>
      <c r="F35" s="167">
        <v>3</v>
      </c>
      <c r="G35" s="78">
        <v>38</v>
      </c>
      <c r="H35" s="13">
        <v>260</v>
      </c>
      <c r="I35" s="164">
        <v>80</v>
      </c>
      <c r="J35" s="78">
        <f t="shared" si="3"/>
        <v>823.09</v>
      </c>
      <c r="K35" s="25"/>
    </row>
    <row r="36" spans="1:11">
      <c r="A36" s="56">
        <f t="shared" si="0"/>
        <v>29</v>
      </c>
      <c r="B36" s="23" t="s">
        <v>192</v>
      </c>
      <c r="C36" s="25"/>
      <c r="D36" s="176">
        <v>317</v>
      </c>
      <c r="E36" s="78">
        <v>267.64999999999998</v>
      </c>
      <c r="F36" s="167">
        <v>3</v>
      </c>
      <c r="G36" s="78">
        <v>53.666666666666664</v>
      </c>
      <c r="H36" s="13">
        <v>255</v>
      </c>
      <c r="I36" s="164">
        <v>80</v>
      </c>
      <c r="J36" s="78">
        <f t="shared" si="3"/>
        <v>976.31666666666661</v>
      </c>
      <c r="K36" s="25"/>
    </row>
    <row r="37" spans="1:11">
      <c r="A37" s="56">
        <f t="shared" si="0"/>
        <v>30</v>
      </c>
      <c r="B37" s="23" t="s">
        <v>181</v>
      </c>
      <c r="C37" s="25"/>
      <c r="D37" s="176">
        <v>374.85</v>
      </c>
      <c r="E37" s="78">
        <v>277.75</v>
      </c>
      <c r="F37" s="167">
        <v>4</v>
      </c>
      <c r="G37" s="78">
        <v>73.436666666666667</v>
      </c>
      <c r="H37" s="13">
        <v>255</v>
      </c>
      <c r="I37" s="164">
        <v>80</v>
      </c>
      <c r="J37" s="78">
        <f t="shared" si="3"/>
        <v>1065.0366666666666</v>
      </c>
      <c r="K37" s="25"/>
    </row>
    <row r="38" spans="1:11">
      <c r="A38" s="56">
        <f t="shared" si="0"/>
        <v>31</v>
      </c>
      <c r="B38" s="23" t="s">
        <v>156</v>
      </c>
      <c r="C38" s="25"/>
      <c r="D38" s="176">
        <v>352.8</v>
      </c>
      <c r="E38" s="78">
        <v>294.92</v>
      </c>
      <c r="F38" s="167">
        <v>4</v>
      </c>
      <c r="G38" s="78">
        <v>68.660000000000011</v>
      </c>
      <c r="H38" s="13">
        <v>255</v>
      </c>
      <c r="I38" s="164">
        <v>80</v>
      </c>
      <c r="J38" s="78">
        <f t="shared" si="3"/>
        <v>1055.3800000000001</v>
      </c>
      <c r="K38" s="25"/>
    </row>
    <row r="39" spans="1:11">
      <c r="A39" s="56">
        <f t="shared" si="0"/>
        <v>32</v>
      </c>
      <c r="B39" s="23" t="s">
        <v>182</v>
      </c>
      <c r="C39" s="25"/>
      <c r="D39" s="176">
        <v>259.35000000000002</v>
      </c>
      <c r="E39" s="78">
        <v>285.83</v>
      </c>
      <c r="F39" s="167">
        <v>4</v>
      </c>
      <c r="G39" s="78">
        <v>51.116666666666667</v>
      </c>
      <c r="H39" s="13">
        <v>255</v>
      </c>
      <c r="I39" s="164">
        <v>80</v>
      </c>
      <c r="J39" s="78">
        <f t="shared" si="3"/>
        <v>935.29666666666674</v>
      </c>
      <c r="K39" s="25"/>
    </row>
    <row r="40" spans="1:11">
      <c r="A40" s="56">
        <f t="shared" si="0"/>
        <v>33</v>
      </c>
      <c r="B40" s="23" t="s">
        <v>157</v>
      </c>
      <c r="C40" s="25"/>
      <c r="D40" s="176">
        <v>246.75</v>
      </c>
      <c r="E40" s="78">
        <v>270.68</v>
      </c>
      <c r="F40" s="167">
        <v>3</v>
      </c>
      <c r="G40" s="78">
        <v>41.419999999999995</v>
      </c>
      <c r="H40" s="13">
        <v>255</v>
      </c>
      <c r="I40" s="164">
        <v>80</v>
      </c>
      <c r="J40" s="78">
        <f t="shared" si="3"/>
        <v>896.85</v>
      </c>
      <c r="K40" s="25"/>
    </row>
    <row r="41" spans="1:11">
      <c r="A41" s="56">
        <f t="shared" si="0"/>
        <v>34</v>
      </c>
      <c r="B41" s="23" t="s">
        <v>158</v>
      </c>
      <c r="C41" s="25"/>
      <c r="D41" s="176">
        <v>220.5</v>
      </c>
      <c r="E41" s="78">
        <v>309.06</v>
      </c>
      <c r="F41" s="167">
        <v>2</v>
      </c>
      <c r="G41" s="78">
        <v>41.016666666666673</v>
      </c>
      <c r="H41" s="13">
        <v>255</v>
      </c>
      <c r="I41" s="164">
        <v>80</v>
      </c>
      <c r="J41" s="78">
        <f t="shared" si="3"/>
        <v>907.5766666666666</v>
      </c>
      <c r="K41" s="25"/>
    </row>
    <row r="42" spans="1:11" ht="13.5" thickBot="1">
      <c r="A42" s="56">
        <f t="shared" si="0"/>
        <v>35</v>
      </c>
      <c r="B42" s="26" t="s">
        <v>183</v>
      </c>
      <c r="C42" s="27"/>
      <c r="D42" s="177">
        <v>315</v>
      </c>
      <c r="E42" s="79">
        <v>351.48</v>
      </c>
      <c r="F42" s="168">
        <v>2</v>
      </c>
      <c r="G42" s="79">
        <v>55.206666666666671</v>
      </c>
      <c r="H42" s="168">
        <v>255</v>
      </c>
      <c r="I42" s="165">
        <v>80</v>
      </c>
      <c r="J42" s="79">
        <f>SUM(D42:I42)</f>
        <v>1058.6866666666667</v>
      </c>
      <c r="K42" s="25"/>
    </row>
    <row r="43" spans="1:11" ht="13.5" thickBot="1">
      <c r="A43" s="56">
        <f t="shared" si="0"/>
        <v>36</v>
      </c>
      <c r="B43" s="169"/>
      <c r="C43" s="25"/>
      <c r="D43" s="17"/>
      <c r="E43" s="17"/>
      <c r="F43" s="17"/>
      <c r="G43" s="12"/>
      <c r="H43" s="13"/>
      <c r="I43" s="15"/>
      <c r="J43" s="80"/>
      <c r="K43" s="25"/>
    </row>
    <row r="44" spans="1:11" ht="13.5" thickBot="1">
      <c r="A44" s="56">
        <f t="shared" si="0"/>
        <v>37</v>
      </c>
      <c r="B44" s="170" t="s">
        <v>118</v>
      </c>
      <c r="C44" s="171"/>
      <c r="D44" s="18">
        <f t="shared" ref="D44:J44" si="4">SUM(D31:D42)/12</f>
        <v>284.35416666666669</v>
      </c>
      <c r="E44" s="18">
        <f t="shared" si="4"/>
        <v>288.18666666666667</v>
      </c>
      <c r="F44" s="18">
        <f t="shared" si="4"/>
        <v>2.8333333333333335</v>
      </c>
      <c r="G44" s="18">
        <f t="shared" si="4"/>
        <v>51.349166666666669</v>
      </c>
      <c r="H44" s="18">
        <f t="shared" si="4"/>
        <v>257.08333333333331</v>
      </c>
      <c r="I44" s="18">
        <f t="shared" si="4"/>
        <v>80</v>
      </c>
      <c r="J44" s="18">
        <f t="shared" si="4"/>
        <v>963.8066666666665</v>
      </c>
      <c r="K44" s="70"/>
    </row>
    <row r="45" spans="1:11">
      <c r="A45" s="56">
        <f t="shared" si="0"/>
        <v>38</v>
      </c>
    </row>
    <row r="46" spans="1:11">
      <c r="A46" s="56">
        <f t="shared" si="0"/>
        <v>39</v>
      </c>
      <c r="B46" s="29" t="s">
        <v>410</v>
      </c>
      <c r="C46" s="175"/>
      <c r="D46" s="178"/>
      <c r="E46" s="178"/>
      <c r="F46" s="178"/>
      <c r="G46" s="179"/>
      <c r="H46" s="179"/>
      <c r="I46" s="180"/>
    </row>
    <row r="47" spans="1:11">
      <c r="A47" s="56">
        <f t="shared" si="0"/>
        <v>40</v>
      </c>
      <c r="B47" s="29" t="s">
        <v>411</v>
      </c>
      <c r="C47" s="175"/>
      <c r="G47" s="179"/>
    </row>
    <row r="48" spans="1:11">
      <c r="A48" s="56"/>
      <c r="B48" s="29"/>
      <c r="D48" s="31"/>
      <c r="E48" s="31"/>
    </row>
    <row r="49" spans="1:5">
      <c r="A49" s="56"/>
      <c r="B49" s="29"/>
      <c r="D49" s="31"/>
      <c r="E49" s="31"/>
    </row>
    <row r="50" spans="1:5">
      <c r="A50" s="56"/>
      <c r="B50" s="31"/>
      <c r="C50" s="31"/>
      <c r="D50" s="31"/>
      <c r="E50" s="31"/>
    </row>
    <row r="51" spans="1:5">
      <c r="A51" s="56"/>
      <c r="B51" s="31"/>
      <c r="C51" s="31"/>
      <c r="D51" s="31"/>
      <c r="E51" s="31"/>
    </row>
    <row r="52" spans="1:5">
      <c r="B52" s="31"/>
      <c r="C52" s="31"/>
      <c r="D52" s="31"/>
      <c r="E52" s="31"/>
    </row>
    <row r="53" spans="1:5">
      <c r="B53" s="31"/>
      <c r="C53" s="31"/>
      <c r="D53" s="31"/>
      <c r="E53" s="31"/>
    </row>
    <row r="54" spans="1:5">
      <c r="B54" s="31"/>
      <c r="C54" s="31"/>
      <c r="D54" s="31"/>
      <c r="E54" s="31"/>
    </row>
    <row r="55" spans="1:5">
      <c r="B55" s="31"/>
      <c r="C55" s="31"/>
      <c r="D55" s="31"/>
      <c r="E55" s="31"/>
    </row>
    <row r="56" spans="1:5">
      <c r="B56" s="31"/>
      <c r="C56" s="31"/>
      <c r="D56" s="31"/>
      <c r="E56" s="31"/>
    </row>
    <row r="57" spans="1:5">
      <c r="B57" s="31"/>
      <c r="C57" s="31"/>
      <c r="D57" s="31"/>
      <c r="E57" s="31"/>
    </row>
    <row r="58" spans="1:5">
      <c r="B58" s="31"/>
      <c r="C58" s="31"/>
      <c r="D58" s="31"/>
      <c r="E58" s="31"/>
    </row>
    <row r="59" spans="1:5">
      <c r="B59" s="181"/>
      <c r="C59" s="181"/>
      <c r="D59" s="181"/>
      <c r="E59" s="181"/>
    </row>
    <row r="114" spans="8:10">
      <c r="H114" s="30" t="s">
        <v>200</v>
      </c>
      <c r="I114" s="30">
        <f>+K183</f>
        <v>0</v>
      </c>
    </row>
    <row r="115" spans="8:10">
      <c r="I115" s="30">
        <f>+I114</f>
        <v>0</v>
      </c>
    </row>
    <row r="128" spans="8:10">
      <c r="I128" s="30">
        <f>+I6</f>
        <v>0</v>
      </c>
      <c r="J128" s="30">
        <f>+J6</f>
        <v>0</v>
      </c>
    </row>
    <row r="206" spans="9:10">
      <c r="I206" s="30">
        <f>I6</f>
        <v>0</v>
      </c>
      <c r="J206" s="30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R120"/>
  <sheetViews>
    <sheetView zoomScaleNormal="100" zoomScalePageLayoutView="125" workbookViewId="0">
      <selection activeCell="D29" sqref="D29"/>
    </sheetView>
  </sheetViews>
  <sheetFormatPr defaultColWidth="8.5546875" defaultRowHeight="11.25"/>
  <cols>
    <col min="1" max="1" width="3.77734375" style="33" customWidth="1"/>
    <col min="2" max="2" width="18.44140625" style="33" customWidth="1"/>
    <col min="3" max="3" width="11.77734375" style="33" customWidth="1"/>
    <col min="4" max="4" width="10.109375" style="33" customWidth="1"/>
    <col min="5" max="5" width="0.88671875" style="33" customWidth="1"/>
    <col min="6" max="6" width="10.109375" style="33" customWidth="1"/>
    <col min="7" max="7" width="8.5546875" style="33" customWidth="1"/>
    <col min="8" max="8" width="8" style="33" customWidth="1"/>
    <col min="9" max="12" width="8.5546875" style="33"/>
    <col min="13" max="13" width="11.88671875" style="33" customWidth="1"/>
    <col min="14" max="16384" width="8.5546875" style="33"/>
  </cols>
  <sheetData>
    <row r="1" spans="1:10" ht="12.75">
      <c r="C1" s="147"/>
      <c r="H1" s="53" t="str">
        <f>'CU AC Rate Design - True-Up'!H1</f>
        <v>Date: May 31, 2019</v>
      </c>
      <c r="J1" s="148"/>
    </row>
    <row r="2" spans="1:10">
      <c r="C2" s="39"/>
      <c r="D2" s="39"/>
      <c r="H2" s="53" t="s">
        <v>459</v>
      </c>
    </row>
    <row r="3" spans="1:10" ht="12.75">
      <c r="B3" s="317"/>
      <c r="C3" s="317"/>
      <c r="D3" s="317"/>
      <c r="E3" s="317"/>
      <c r="F3" s="317"/>
      <c r="G3" s="317"/>
      <c r="H3" s="317"/>
      <c r="J3" s="148"/>
    </row>
    <row r="4" spans="1:10" ht="12.75">
      <c r="B4" s="149"/>
      <c r="C4" s="147"/>
    </row>
    <row r="5" spans="1:10" ht="12" customHeight="1">
      <c r="B5" s="150"/>
    </row>
    <row r="8" spans="1:10" ht="13.5" customHeight="1">
      <c r="A8" s="151" t="s">
        <v>196</v>
      </c>
      <c r="D8" s="36" t="s">
        <v>300</v>
      </c>
      <c r="F8" s="36" t="s">
        <v>248</v>
      </c>
      <c r="G8" s="36"/>
      <c r="H8" s="36" t="s">
        <v>301</v>
      </c>
    </row>
    <row r="9" spans="1:10" ht="13.5" customHeight="1">
      <c r="A9" s="152" t="s">
        <v>197</v>
      </c>
      <c r="B9" s="44" t="s">
        <v>322</v>
      </c>
      <c r="C9" s="152" t="s">
        <v>302</v>
      </c>
      <c r="D9" s="152" t="s">
        <v>198</v>
      </c>
      <c r="F9" s="152" t="s">
        <v>303</v>
      </c>
      <c r="G9" s="152" t="s">
        <v>199</v>
      </c>
      <c r="H9" s="152" t="s">
        <v>198</v>
      </c>
    </row>
    <row r="10" spans="1:10" ht="13.5" customHeight="1">
      <c r="G10" s="37"/>
    </row>
    <row r="11" spans="1:10">
      <c r="A11" s="36">
        <v>1</v>
      </c>
      <c r="B11" s="33" t="s">
        <v>452</v>
      </c>
      <c r="C11" s="33" t="s">
        <v>397</v>
      </c>
      <c r="D11" s="45">
        <v>3092752</v>
      </c>
      <c r="F11" s="36" t="s">
        <v>387</v>
      </c>
      <c r="G11" s="37">
        <v>1</v>
      </c>
      <c r="H11" s="45">
        <f>D11*G11</f>
        <v>3092752</v>
      </c>
    </row>
    <row r="12" spans="1:10">
      <c r="A12" s="36">
        <f>+A11+1</f>
        <v>2</v>
      </c>
      <c r="B12" s="33" t="s">
        <v>65</v>
      </c>
      <c r="C12" s="33" t="s">
        <v>399</v>
      </c>
      <c r="D12" s="45">
        <v>19265</v>
      </c>
      <c r="F12" s="36" t="s">
        <v>387</v>
      </c>
      <c r="G12" s="37">
        <f>+G11</f>
        <v>1</v>
      </c>
      <c r="H12" s="45">
        <f>D12*G12</f>
        <v>19265</v>
      </c>
    </row>
    <row r="13" spans="1:10">
      <c r="A13" s="36">
        <f t="shared" ref="A13:A34" si="0">+A12+1</f>
        <v>3</v>
      </c>
      <c r="B13" s="33" t="s">
        <v>66</v>
      </c>
      <c r="C13" s="33" t="s">
        <v>400</v>
      </c>
      <c r="D13" s="45">
        <v>12611</v>
      </c>
      <c r="F13" s="36" t="s">
        <v>387</v>
      </c>
      <c r="G13" s="37">
        <f>+G12</f>
        <v>1</v>
      </c>
      <c r="H13" s="45">
        <f>D13*G13</f>
        <v>12611</v>
      </c>
    </row>
    <row r="14" spans="1:10" ht="12" thickBot="1">
      <c r="A14" s="36">
        <f t="shared" si="0"/>
        <v>4</v>
      </c>
      <c r="B14" s="38" t="s">
        <v>325</v>
      </c>
      <c r="C14" s="39"/>
      <c r="D14" s="40">
        <f>+D11-D12-D13</f>
        <v>3060876</v>
      </c>
      <c r="H14" s="41">
        <f>+H11-H12-H13</f>
        <v>3060876</v>
      </c>
    </row>
    <row r="15" spans="1:10">
      <c r="A15" s="36">
        <f t="shared" si="0"/>
        <v>5</v>
      </c>
    </row>
    <row r="16" spans="1:10">
      <c r="A16" s="36">
        <f t="shared" si="0"/>
        <v>6</v>
      </c>
      <c r="B16" s="44" t="s">
        <v>451</v>
      </c>
    </row>
    <row r="17" spans="1:7">
      <c r="A17" s="36">
        <f t="shared" si="0"/>
        <v>7</v>
      </c>
      <c r="B17" s="33" t="s">
        <v>304</v>
      </c>
      <c r="C17" s="33" t="s">
        <v>398</v>
      </c>
      <c r="D17" s="45">
        <v>2819017</v>
      </c>
    </row>
    <row r="18" spans="1:7">
      <c r="A18" s="36">
        <f t="shared" si="0"/>
        <v>8</v>
      </c>
      <c r="B18" s="33" t="s">
        <v>65</v>
      </c>
      <c r="C18" s="33" t="s">
        <v>67</v>
      </c>
      <c r="D18" s="45">
        <v>243</v>
      </c>
      <c r="F18" s="84"/>
      <c r="G18" s="84"/>
    </row>
    <row r="19" spans="1:7">
      <c r="A19" s="36">
        <f t="shared" si="0"/>
        <v>9</v>
      </c>
      <c r="B19" s="33" t="s">
        <v>66</v>
      </c>
      <c r="C19" s="33" t="s">
        <v>68</v>
      </c>
      <c r="D19" s="45">
        <v>10438</v>
      </c>
      <c r="F19" s="84"/>
      <c r="G19" s="84"/>
    </row>
    <row r="20" spans="1:7" ht="12" thickBot="1">
      <c r="A20" s="36">
        <f t="shared" si="0"/>
        <v>10</v>
      </c>
      <c r="D20" s="40">
        <f>+D17-D18-D19</f>
        <v>2808336</v>
      </c>
      <c r="F20" s="84"/>
      <c r="G20" s="84"/>
    </row>
    <row r="21" spans="1:7">
      <c r="A21" s="36">
        <f t="shared" si="0"/>
        <v>11</v>
      </c>
      <c r="D21" s="46"/>
      <c r="F21" s="84"/>
      <c r="G21" s="84"/>
    </row>
    <row r="22" spans="1:7">
      <c r="A22" s="36">
        <f t="shared" si="0"/>
        <v>12</v>
      </c>
      <c r="B22" s="33" t="str">
        <f>"True-up Amount to be (Refunded)/Paid (line "&amp;A20&amp;"-line "&amp;A14&amp;")"</f>
        <v>True-up Amount to be (Refunded)/Paid (line 10-line 4)</v>
      </c>
      <c r="D22" s="46">
        <f>D20-D14</f>
        <v>-252540</v>
      </c>
      <c r="F22" s="84"/>
      <c r="G22" s="84"/>
    </row>
    <row r="23" spans="1:7">
      <c r="A23" s="36">
        <f t="shared" si="0"/>
        <v>13</v>
      </c>
      <c r="F23" s="84"/>
      <c r="G23" s="84"/>
    </row>
    <row r="24" spans="1:7">
      <c r="A24" s="36">
        <f t="shared" si="0"/>
        <v>14</v>
      </c>
    </row>
    <row r="25" spans="1:7">
      <c r="A25" s="36">
        <f t="shared" si="0"/>
        <v>15</v>
      </c>
      <c r="B25" s="42" t="s">
        <v>305</v>
      </c>
    </row>
    <row r="26" spans="1:7">
      <c r="A26" s="36">
        <f t="shared" si="0"/>
        <v>16</v>
      </c>
    </row>
    <row r="27" spans="1:7" ht="12.75">
      <c r="A27" s="36">
        <f t="shared" si="0"/>
        <v>17</v>
      </c>
      <c r="B27" s="33" t="s">
        <v>306</v>
      </c>
      <c r="D27" s="50">
        <f>D20</f>
        <v>2808336</v>
      </c>
    </row>
    <row r="28" spans="1:7" ht="12.75">
      <c r="A28" s="36">
        <f t="shared" si="0"/>
        <v>18</v>
      </c>
      <c r="B28" s="51" t="s">
        <v>307</v>
      </c>
      <c r="D28" s="52">
        <f>'WP7 CU AC LOADS'!J24*1000</f>
        <v>964000</v>
      </c>
      <c r="F28" s="153" t="s">
        <v>308</v>
      </c>
      <c r="G28" s="33" t="s">
        <v>447</v>
      </c>
    </row>
    <row r="29" spans="1:7" ht="12">
      <c r="A29" s="36">
        <f t="shared" si="0"/>
        <v>19</v>
      </c>
      <c r="F29" s="153"/>
    </row>
    <row r="30" spans="1:7" ht="12.75">
      <c r="A30" s="36">
        <f t="shared" si="0"/>
        <v>20</v>
      </c>
      <c r="B30" s="53" t="s">
        <v>309</v>
      </c>
      <c r="D30" s="54">
        <f>D27/D28</f>
        <v>2.9132116182572614</v>
      </c>
      <c r="E30" s="33" t="s">
        <v>310</v>
      </c>
      <c r="F30" s="154" t="s">
        <v>311</v>
      </c>
      <c r="G30" s="33" t="s">
        <v>14</v>
      </c>
    </row>
    <row r="31" spans="1:7" ht="12.75">
      <c r="A31" s="36">
        <f t="shared" si="0"/>
        <v>21</v>
      </c>
      <c r="B31" s="53" t="s">
        <v>312</v>
      </c>
      <c r="D31" s="54">
        <f>D30/12</f>
        <v>0.24276763485477179</v>
      </c>
      <c r="E31" s="33" t="s">
        <v>310</v>
      </c>
      <c r="F31" s="154" t="s">
        <v>313</v>
      </c>
      <c r="G31" s="33" t="s">
        <v>15</v>
      </c>
    </row>
    <row r="32" spans="1:7" ht="12.75">
      <c r="A32" s="36">
        <f t="shared" si="0"/>
        <v>22</v>
      </c>
      <c r="B32" s="53" t="s">
        <v>314</v>
      </c>
      <c r="D32" s="54">
        <f>D30/52</f>
        <v>5.6023300351101181E-2</v>
      </c>
      <c r="E32" s="33" t="s">
        <v>310</v>
      </c>
      <c r="F32" s="154" t="s">
        <v>315</v>
      </c>
      <c r="G32" s="33" t="s">
        <v>16</v>
      </c>
    </row>
    <row r="33" spans="1:8" ht="12.75">
      <c r="A33" s="36">
        <f t="shared" si="0"/>
        <v>23</v>
      </c>
      <c r="B33" s="53" t="s">
        <v>316</v>
      </c>
      <c r="C33" s="36" t="s">
        <v>323</v>
      </c>
      <c r="D33" s="54">
        <f>D30/365</f>
        <v>7.9814016938555103E-3</v>
      </c>
      <c r="E33" s="33" t="s">
        <v>310</v>
      </c>
      <c r="F33" s="154" t="s">
        <v>317</v>
      </c>
      <c r="G33" s="33" t="s">
        <v>17</v>
      </c>
    </row>
    <row r="34" spans="1:8" ht="12.75">
      <c r="A34" s="36">
        <f t="shared" si="0"/>
        <v>24</v>
      </c>
      <c r="B34" s="53" t="s">
        <v>318</v>
      </c>
      <c r="C34" s="36" t="s">
        <v>324</v>
      </c>
      <c r="D34" s="54">
        <f>(D30/8760)*1000</f>
        <v>0.33255840391064628</v>
      </c>
      <c r="E34" s="33" t="s">
        <v>310</v>
      </c>
      <c r="F34" s="154" t="s">
        <v>319</v>
      </c>
      <c r="G34" s="33" t="s">
        <v>18</v>
      </c>
    </row>
    <row r="35" spans="1:8">
      <c r="B35" s="53"/>
    </row>
    <row r="42" spans="1:8" ht="10.5" customHeight="1"/>
    <row r="46" spans="1:8" ht="15.75">
      <c r="H46" s="155"/>
    </row>
    <row r="47" spans="1:8" ht="15">
      <c r="H47" s="156"/>
    </row>
    <row r="48" spans="1:8">
      <c r="H48" s="33" t="s">
        <v>194</v>
      </c>
    </row>
    <row r="52" spans="1:9" ht="14.25">
      <c r="C52" s="157"/>
    </row>
    <row r="53" spans="1:9" ht="14.25">
      <c r="C53" s="157"/>
    </row>
    <row r="54" spans="1:9" ht="14.25">
      <c r="C54" s="158"/>
    </row>
    <row r="55" spans="1:9" ht="15">
      <c r="A55" s="76"/>
      <c r="B55" s="76"/>
      <c r="C55" s="76"/>
      <c r="D55" s="76"/>
      <c r="E55" s="76"/>
      <c r="F55" s="76"/>
      <c r="G55" s="76"/>
      <c r="H55" s="76"/>
      <c r="I55" s="76"/>
    </row>
    <row r="56" spans="1:9" ht="15">
      <c r="A56" s="76"/>
      <c r="B56" s="76"/>
      <c r="C56" s="76"/>
      <c r="D56" s="76"/>
      <c r="E56" s="76"/>
      <c r="F56" s="76"/>
      <c r="G56" s="76"/>
      <c r="H56" s="76"/>
      <c r="I56" s="76"/>
    </row>
    <row r="57" spans="1:9" ht="15">
      <c r="A57" s="76"/>
      <c r="B57" s="76"/>
      <c r="C57" s="76"/>
      <c r="D57" s="76"/>
      <c r="E57" s="76"/>
      <c r="F57" s="76"/>
      <c r="G57" s="76"/>
      <c r="H57" s="76"/>
      <c r="I57" s="76"/>
    </row>
    <row r="58" spans="1:9" ht="15">
      <c r="A58" s="76"/>
      <c r="B58" s="76"/>
      <c r="C58" s="76"/>
      <c r="D58" s="76"/>
      <c r="E58" s="76"/>
      <c r="F58" s="76"/>
      <c r="G58" s="76"/>
      <c r="H58" s="76"/>
      <c r="I58" s="76"/>
    </row>
    <row r="59" spans="1:9" ht="15">
      <c r="A59" s="76"/>
      <c r="B59" s="76"/>
      <c r="C59" s="76"/>
      <c r="D59" s="76"/>
      <c r="E59" s="76"/>
      <c r="F59" s="76"/>
      <c r="G59" s="76"/>
      <c r="H59" s="76"/>
      <c r="I59" s="76"/>
    </row>
    <row r="60" spans="1:9" ht="15">
      <c r="A60" s="76"/>
      <c r="B60" s="76"/>
      <c r="C60" s="76"/>
      <c r="D60" s="76"/>
      <c r="E60" s="76"/>
      <c r="F60" s="76"/>
      <c r="G60" s="76"/>
      <c r="H60" s="76"/>
      <c r="I60" s="76"/>
    </row>
    <row r="61" spans="1:9" ht="15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>
      <c r="A63" s="76"/>
      <c r="B63" s="76"/>
      <c r="C63" s="76"/>
      <c r="D63" s="76"/>
      <c r="E63" s="76"/>
      <c r="F63" s="76"/>
      <c r="G63" s="76"/>
      <c r="H63" s="76"/>
      <c r="I63" s="76"/>
    </row>
    <row r="64" spans="1:9" ht="15">
      <c r="A64" s="76"/>
      <c r="B64" s="76"/>
      <c r="C64" s="76"/>
      <c r="D64" s="76"/>
      <c r="E64" s="76"/>
      <c r="F64" s="76"/>
      <c r="G64" s="76"/>
      <c r="H64" s="76"/>
      <c r="I64" s="76"/>
    </row>
    <row r="65" spans="1:9" ht="15">
      <c r="A65" s="76"/>
      <c r="B65" s="76"/>
      <c r="C65" s="76"/>
      <c r="D65" s="76"/>
      <c r="E65" s="76"/>
      <c r="F65" s="76"/>
      <c r="G65" s="76"/>
      <c r="H65" s="76"/>
      <c r="I65" s="76"/>
    </row>
    <row r="66" spans="1:9" ht="15">
      <c r="A66" s="76"/>
      <c r="B66" s="76"/>
      <c r="C66" s="76"/>
      <c r="D66" s="76"/>
      <c r="E66" s="76"/>
      <c r="F66" s="76"/>
      <c r="G66" s="76"/>
      <c r="H66" s="76"/>
      <c r="I66" s="76"/>
    </row>
    <row r="67" spans="1:9" ht="15">
      <c r="A67" s="76"/>
      <c r="B67" s="76"/>
      <c r="C67" s="76"/>
      <c r="D67" s="76"/>
      <c r="E67" s="76"/>
      <c r="F67" s="76"/>
      <c r="G67" s="76"/>
      <c r="H67" s="76"/>
      <c r="I67" s="76"/>
    </row>
    <row r="68" spans="1:9" ht="15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5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15">
      <c r="A70" s="76"/>
      <c r="B70" s="76"/>
      <c r="C70" s="76"/>
      <c r="D70" s="76"/>
      <c r="E70" s="76"/>
      <c r="F70" s="76"/>
      <c r="G70" s="76"/>
      <c r="H70" s="76"/>
      <c r="I70" s="76"/>
    </row>
    <row r="71" spans="1:9" ht="15">
      <c r="A71" s="76"/>
      <c r="B71" s="76"/>
      <c r="C71" s="76"/>
      <c r="D71" s="76"/>
      <c r="E71" s="76"/>
      <c r="F71" s="76"/>
      <c r="G71" s="76"/>
      <c r="H71" s="76"/>
      <c r="I71" s="76"/>
    </row>
    <row r="72" spans="1:9" ht="15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5">
      <c r="A73" s="76"/>
      <c r="B73" s="76"/>
      <c r="C73" s="76"/>
      <c r="D73" s="76"/>
      <c r="E73" s="76"/>
      <c r="F73" s="76"/>
      <c r="G73" s="76"/>
      <c r="H73" s="76"/>
      <c r="I73" s="76"/>
    </row>
    <row r="74" spans="1:9" ht="15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5">
      <c r="A75" s="76"/>
      <c r="B75" s="76"/>
      <c r="C75" s="76"/>
      <c r="D75" s="76"/>
      <c r="E75" s="76"/>
      <c r="F75" s="76"/>
      <c r="G75" s="76"/>
      <c r="H75" s="76"/>
      <c r="I75" s="76"/>
    </row>
    <row r="76" spans="1:9" ht="15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15">
      <c r="A77" s="76"/>
      <c r="B77" s="76"/>
      <c r="C77" s="76"/>
      <c r="D77" s="76"/>
      <c r="E77" s="76"/>
      <c r="F77" s="76"/>
      <c r="G77" s="76"/>
      <c r="H77" s="76"/>
      <c r="I77" s="76"/>
    </row>
    <row r="78" spans="1:9" ht="15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5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5">
      <c r="A80" s="76"/>
      <c r="B80" s="76"/>
      <c r="C80" s="76"/>
      <c r="D80" s="76"/>
      <c r="E80" s="76"/>
      <c r="F80" s="76"/>
      <c r="G80" s="76"/>
      <c r="H80" s="76"/>
      <c r="I80" s="76"/>
    </row>
    <row r="81" spans="1:18" ht="15">
      <c r="A81" s="76"/>
      <c r="B81" s="76"/>
      <c r="C81" s="76"/>
      <c r="D81" s="76"/>
      <c r="E81" s="76"/>
      <c r="F81" s="76"/>
      <c r="G81" s="76"/>
      <c r="H81" s="76"/>
      <c r="I81" s="76"/>
    </row>
    <row r="82" spans="1:18" ht="15">
      <c r="A82" s="76"/>
      <c r="B82" s="76"/>
      <c r="C82" s="76"/>
      <c r="D82" s="76"/>
      <c r="E82" s="76"/>
      <c r="F82" s="76"/>
      <c r="G82" s="76"/>
      <c r="H82" s="76"/>
      <c r="I82" s="76"/>
    </row>
    <row r="83" spans="1:18" ht="15">
      <c r="A83" s="76"/>
      <c r="B83" s="76"/>
      <c r="C83" s="76"/>
      <c r="D83" s="76"/>
      <c r="E83" s="76"/>
      <c r="F83" s="76"/>
      <c r="G83" s="76"/>
      <c r="H83" s="76"/>
      <c r="I83" s="76"/>
    </row>
    <row r="84" spans="1:18" ht="15">
      <c r="A84" s="76"/>
      <c r="B84" s="76"/>
      <c r="C84" s="76"/>
      <c r="D84" s="76"/>
      <c r="E84" s="76"/>
      <c r="F84" s="76"/>
      <c r="G84" s="76"/>
      <c r="H84" s="76"/>
      <c r="I84" s="76"/>
    </row>
    <row r="85" spans="1:18" ht="15">
      <c r="A85" s="76"/>
      <c r="B85" s="76"/>
      <c r="C85" s="76"/>
      <c r="D85" s="76"/>
      <c r="E85" s="76"/>
      <c r="F85" s="76"/>
      <c r="G85" s="76"/>
      <c r="H85" s="76"/>
      <c r="I85" s="76"/>
    </row>
    <row r="86" spans="1:18" ht="15">
      <c r="A86" s="76"/>
      <c r="B86" s="76"/>
      <c r="C86" s="76"/>
      <c r="D86" s="76"/>
      <c r="E86" s="76"/>
      <c r="F86" s="76"/>
      <c r="G86" s="76"/>
      <c r="H86" s="76"/>
      <c r="I86" s="76"/>
    </row>
    <row r="87" spans="1:18" ht="15">
      <c r="A87" s="76"/>
      <c r="B87" s="76"/>
      <c r="C87" s="76"/>
      <c r="D87" s="76"/>
      <c r="E87" s="76"/>
      <c r="F87" s="76"/>
      <c r="G87" s="76"/>
      <c r="H87" s="76"/>
      <c r="I87" s="76"/>
    </row>
    <row r="88" spans="1:18" ht="15">
      <c r="A88" s="76"/>
      <c r="B88" s="76"/>
      <c r="C88" s="76"/>
      <c r="D88" s="76"/>
      <c r="E88" s="76"/>
      <c r="F88" s="76"/>
      <c r="G88" s="76"/>
      <c r="H88" s="76"/>
      <c r="I88" s="76"/>
    </row>
    <row r="89" spans="1:18" ht="15">
      <c r="A89" s="76"/>
      <c r="B89" s="76"/>
      <c r="C89" s="76"/>
      <c r="D89" s="76"/>
      <c r="E89" s="76"/>
      <c r="F89" s="76"/>
      <c r="G89" s="76"/>
      <c r="H89" s="76"/>
      <c r="I89" s="76"/>
    </row>
    <row r="90" spans="1:18" ht="15">
      <c r="A90" s="76"/>
      <c r="B90" s="76"/>
      <c r="C90" s="76"/>
      <c r="D90" s="76"/>
      <c r="E90" s="76"/>
      <c r="F90" s="76"/>
      <c r="G90" s="76"/>
      <c r="H90" s="76"/>
      <c r="I90" s="76"/>
    </row>
    <row r="91" spans="1:18" ht="15">
      <c r="A91" s="76"/>
      <c r="B91" s="76"/>
      <c r="C91" s="76"/>
      <c r="D91" s="76"/>
      <c r="E91" s="76"/>
      <c r="F91" s="76"/>
      <c r="G91" s="76"/>
      <c r="H91" s="76"/>
      <c r="I91" s="76"/>
    </row>
    <row r="92" spans="1:18" ht="15">
      <c r="A92" s="76"/>
      <c r="B92" s="76"/>
      <c r="C92" s="76"/>
      <c r="D92" s="76"/>
      <c r="E92" s="76"/>
      <c r="F92" s="76"/>
      <c r="G92" s="76"/>
      <c r="H92" s="76"/>
      <c r="I92" s="76"/>
      <c r="M92" s="159"/>
      <c r="O92" s="159"/>
      <c r="P92" s="159"/>
      <c r="Q92" s="159"/>
      <c r="R92" s="159"/>
    </row>
    <row r="93" spans="1:18" ht="15">
      <c r="A93" s="76"/>
      <c r="B93" s="76"/>
      <c r="C93" s="76"/>
      <c r="D93" s="76"/>
      <c r="E93" s="76"/>
      <c r="F93" s="76"/>
      <c r="G93" s="76"/>
      <c r="H93" s="76"/>
      <c r="I93" s="76"/>
      <c r="J93" s="159"/>
    </row>
    <row r="94" spans="1:18" ht="15">
      <c r="A94" s="76"/>
      <c r="B94" s="76"/>
      <c r="C94" s="76"/>
      <c r="D94" s="76"/>
      <c r="E94" s="76"/>
      <c r="F94" s="76"/>
      <c r="G94" s="76"/>
      <c r="H94" s="76"/>
      <c r="I94" s="76"/>
      <c r="M94" s="159"/>
      <c r="O94" s="159"/>
      <c r="P94" s="159"/>
      <c r="Q94" s="159"/>
      <c r="R94" s="159"/>
    </row>
    <row r="95" spans="1:18" ht="15">
      <c r="A95" s="76"/>
      <c r="B95" s="76"/>
      <c r="C95" s="76"/>
      <c r="D95" s="76"/>
      <c r="E95" s="76"/>
      <c r="F95" s="76"/>
      <c r="G95" s="76"/>
      <c r="H95" s="76"/>
      <c r="I95" s="76"/>
    </row>
    <row r="96" spans="1:18" ht="15">
      <c r="A96" s="76"/>
      <c r="B96" s="76"/>
      <c r="C96" s="76"/>
      <c r="D96" s="76"/>
      <c r="E96" s="76"/>
      <c r="F96" s="76"/>
      <c r="G96" s="76"/>
      <c r="H96" s="76"/>
      <c r="I96" s="76"/>
    </row>
    <row r="97" spans="1:9" ht="15">
      <c r="A97" s="76"/>
      <c r="B97" s="76"/>
      <c r="C97" s="76"/>
      <c r="D97" s="76"/>
      <c r="E97" s="76"/>
      <c r="F97" s="76"/>
      <c r="G97" s="76"/>
      <c r="H97" s="76"/>
      <c r="I97" s="76"/>
    </row>
    <row r="98" spans="1:9" ht="15">
      <c r="A98" s="76"/>
      <c r="B98" s="76"/>
      <c r="C98" s="76"/>
      <c r="D98" s="76"/>
      <c r="E98" s="76"/>
      <c r="F98" s="76"/>
      <c r="G98" s="76"/>
      <c r="H98" s="76"/>
      <c r="I98" s="76"/>
    </row>
    <row r="99" spans="1:9" ht="15">
      <c r="A99" s="76"/>
      <c r="B99" s="76"/>
      <c r="C99" s="76"/>
      <c r="D99" s="76"/>
      <c r="E99" s="76"/>
      <c r="F99" s="76"/>
      <c r="G99" s="76"/>
      <c r="H99" s="76"/>
      <c r="I99" s="76"/>
    </row>
    <row r="100" spans="1:9" ht="15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9" ht="15">
      <c r="A101" s="76"/>
      <c r="B101" s="76"/>
      <c r="C101" s="76"/>
      <c r="D101" s="76"/>
      <c r="E101" s="76"/>
      <c r="F101" s="76"/>
      <c r="G101" s="76"/>
      <c r="H101" s="76"/>
      <c r="I101" s="76"/>
    </row>
    <row r="119" spans="7:8">
      <c r="G119" s="33" t="s">
        <v>200</v>
      </c>
      <c r="H119" s="33">
        <f>+J188</f>
        <v>0</v>
      </c>
    </row>
    <row r="120" spans="7:8">
      <c r="H120" s="33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2019-04-05T14:41:30Z</cp:lastPrinted>
  <dcterms:created xsi:type="dcterms:W3CDTF">1997-04-03T19:40:56Z</dcterms:created>
  <dcterms:modified xsi:type="dcterms:W3CDTF">2020-06-01T14:42:37Z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