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5789_20_Black Hills Power Transmission Web Update\Originals\"/>
    </mc:Choice>
  </mc:AlternateContent>
  <xr:revisionPtr revIDLastSave="0" documentId="8_{802E6468-B6C5-4702-9903-1EB2B7EF90F2}" xr6:coauthVersionLast="44" xr6:coauthVersionMax="44" xr10:uidLastSave="{00000000-0000-0000-0000-000000000000}"/>
  <bookViews>
    <workbookView xWindow="-120" yWindow="-120" windowWidth="29040" windowHeight="15990" tabRatio="893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37" l="1"/>
  <c r="Q28" i="37"/>
  <c r="Q27" i="37"/>
  <c r="Q26" i="37"/>
  <c r="Q25" i="37"/>
  <c r="P28" i="37"/>
  <c r="P27" i="37"/>
  <c r="P26" i="37"/>
  <c r="P25" i="37"/>
  <c r="O28" i="37"/>
  <c r="O26" i="37"/>
  <c r="O27" i="37"/>
  <c r="O25" i="37"/>
  <c r="N28" i="37"/>
  <c r="N27" i="37"/>
  <c r="N26" i="37"/>
  <c r="N25" i="37"/>
  <c r="M28" i="37"/>
  <c r="M27" i="37"/>
  <c r="M26" i="37"/>
  <c r="M25" i="37"/>
  <c r="L28" i="37"/>
  <c r="L27" i="37"/>
  <c r="L26" i="37"/>
  <c r="L25" i="37"/>
  <c r="K28" i="37"/>
  <c r="K27" i="37"/>
  <c r="K26" i="37"/>
  <c r="K25" i="37"/>
  <c r="J28" i="37"/>
  <c r="J27" i="37"/>
  <c r="J26" i="37"/>
  <c r="J25" i="37"/>
  <c r="I28" i="37"/>
  <c r="I27" i="37"/>
  <c r="I26" i="37"/>
  <c r="I25" i="37"/>
  <c r="H28" i="37"/>
  <c r="H27" i="37"/>
  <c r="H26" i="37"/>
  <c r="H25" i="37"/>
  <c r="G28" i="37"/>
  <c r="G27" i="37"/>
  <c r="G26" i="37"/>
  <c r="G25" i="37"/>
  <c r="F28" i="37"/>
  <c r="F27" i="37"/>
  <c r="F26" i="37"/>
  <c r="F25" i="37"/>
  <c r="F29" i="37"/>
  <c r="E51" i="37"/>
  <c r="E55" i="37"/>
  <c r="D17" i="3"/>
  <c r="G18" i="37"/>
  <c r="F18" i="37"/>
  <c r="E95" i="35"/>
  <c r="E98" i="35"/>
  <c r="E101" i="35"/>
  <c r="E85" i="35"/>
  <c r="F55" i="37"/>
  <c r="U28" i="37"/>
  <c r="G58" i="37"/>
  <c r="Q32" i="37"/>
  <c r="P36" i="37"/>
  <c r="L36" i="37"/>
  <c r="J36" i="37"/>
  <c r="I36" i="37"/>
  <c r="I42" i="37"/>
  <c r="E26" i="37"/>
  <c r="R26" i="37"/>
  <c r="R36" i="37"/>
  <c r="Q30" i="37"/>
  <c r="P30" i="37"/>
  <c r="O30" i="37"/>
  <c r="N30" i="37"/>
  <c r="N38" i="37"/>
  <c r="M30" i="37"/>
  <c r="L30" i="37"/>
  <c r="K30" i="37"/>
  <c r="J30" i="37"/>
  <c r="J40" i="37"/>
  <c r="I30" i="37"/>
  <c r="H30" i="37"/>
  <c r="G30" i="37"/>
  <c r="G40" i="37"/>
  <c r="G38" i="37"/>
  <c r="F30" i="37"/>
  <c r="E30" i="37"/>
  <c r="Q38" i="37"/>
  <c r="P38" i="37"/>
  <c r="E28" i="37"/>
  <c r="E38" i="37"/>
  <c r="Q18" i="37"/>
  <c r="P18" i="37"/>
  <c r="O18" i="37"/>
  <c r="N18" i="37"/>
  <c r="M18" i="37"/>
  <c r="L18" i="37"/>
  <c r="L38" i="37"/>
  <c r="K18" i="37"/>
  <c r="J18" i="37"/>
  <c r="I18" i="37"/>
  <c r="I38" i="37"/>
  <c r="H18" i="37"/>
  <c r="R29" i="37"/>
  <c r="E29" i="35"/>
  <c r="F38" i="37"/>
  <c r="Q37" i="37"/>
  <c r="Q42" i="37"/>
  <c r="H37" i="37"/>
  <c r="I37" i="37"/>
  <c r="J37" i="37"/>
  <c r="K37" i="37"/>
  <c r="L37" i="37"/>
  <c r="M37" i="37"/>
  <c r="N37" i="37"/>
  <c r="O37" i="37"/>
  <c r="P37" i="37"/>
  <c r="J184" i="35"/>
  <c r="H196" i="35"/>
  <c r="J196" i="35"/>
  <c r="J199" i="35"/>
  <c r="E106" i="35"/>
  <c r="J22" i="24"/>
  <c r="J21" i="24"/>
  <c r="J20" i="24"/>
  <c r="J19" i="24"/>
  <c r="J18" i="24"/>
  <c r="J17" i="24"/>
  <c r="J16" i="24"/>
  <c r="J15" i="24"/>
  <c r="J14" i="24"/>
  <c r="J13" i="24"/>
  <c r="J24" i="24"/>
  <c r="J12" i="24"/>
  <c r="J11" i="24"/>
  <c r="I24" i="24"/>
  <c r="H24" i="24"/>
  <c r="G24" i="24"/>
  <c r="F24" i="24"/>
  <c r="E24" i="24"/>
  <c r="D24" i="24"/>
  <c r="E41" i="37"/>
  <c r="E40" i="37"/>
  <c r="E39" i="37"/>
  <c r="E35" i="37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44" i="24"/>
  <c r="J31" i="24"/>
  <c r="G37" i="37"/>
  <c r="R19" i="37"/>
  <c r="G64" i="37"/>
  <c r="E59" i="35"/>
  <c r="G51" i="37"/>
  <c r="E46" i="35"/>
  <c r="N39" i="37"/>
  <c r="J39" i="37"/>
  <c r="O39" i="37"/>
  <c r="Q40" i="37"/>
  <c r="P40" i="37"/>
  <c r="O40" i="37"/>
  <c r="M40" i="37"/>
  <c r="I40" i="37"/>
  <c r="H40" i="37"/>
  <c r="F40" i="37"/>
  <c r="P35" i="37"/>
  <c r="K35" i="37"/>
  <c r="L40" i="37"/>
  <c r="J139" i="35"/>
  <c r="E56" i="37"/>
  <c r="O4" i="31"/>
  <c r="O3" i="31"/>
  <c r="J2" i="24"/>
  <c r="I206" i="24"/>
  <c r="J206" i="24"/>
  <c r="I128" i="24"/>
  <c r="J128" i="24"/>
  <c r="F14" i="41"/>
  <c r="F13" i="41"/>
  <c r="F12" i="41"/>
  <c r="I2" i="37"/>
  <c r="R2" i="37"/>
  <c r="H1" i="3"/>
  <c r="J63" i="35"/>
  <c r="K77" i="31"/>
  <c r="M53" i="31"/>
  <c r="N53" i="31"/>
  <c r="D20" i="3"/>
  <c r="H31" i="35"/>
  <c r="R20" i="37"/>
  <c r="E20" i="35"/>
  <c r="H11" i="3"/>
  <c r="E105" i="35"/>
  <c r="G25" i="35"/>
  <c r="G45" i="35"/>
  <c r="G99" i="35"/>
  <c r="G80" i="35"/>
  <c r="G81" i="35"/>
  <c r="G82" i="35"/>
  <c r="A12" i="3"/>
  <c r="A13" i="3"/>
  <c r="A14" i="3"/>
  <c r="A15" i="3"/>
  <c r="A16" i="3"/>
  <c r="A17" i="3"/>
  <c r="A18" i="3"/>
  <c r="A19" i="3"/>
  <c r="A20" i="3"/>
  <c r="G12" i="3"/>
  <c r="G13" i="3"/>
  <c r="H13" i="3"/>
  <c r="H12" i="3"/>
  <c r="D14" i="3"/>
  <c r="D22" i="3"/>
  <c r="N52" i="31"/>
  <c r="N54" i="31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I114" i="24"/>
  <c r="I115" i="24"/>
  <c r="A16" i="37"/>
  <c r="A17" i="37"/>
  <c r="A18" i="37"/>
  <c r="R21" i="37"/>
  <c r="E21" i="35"/>
  <c r="J21" i="35"/>
  <c r="C25" i="37"/>
  <c r="C35" i="37"/>
  <c r="C28" i="37"/>
  <c r="C38" i="37"/>
  <c r="C30" i="37"/>
  <c r="C40" i="37"/>
  <c r="C31" i="37"/>
  <c r="C41" i="37"/>
  <c r="R31" i="37"/>
  <c r="E31" i="35"/>
  <c r="J31" i="35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E49" i="35"/>
  <c r="E53" i="35"/>
  <c r="J53" i="35"/>
  <c r="G62" i="37"/>
  <c r="E57" i="35"/>
  <c r="G63" i="37"/>
  <c r="E58" i="35"/>
  <c r="E60" i="35"/>
  <c r="E65" i="37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E32" i="31"/>
  <c r="J193" i="35"/>
  <c r="E198" i="35"/>
  <c r="E199" i="35"/>
  <c r="F197" i="35"/>
  <c r="J197" i="35"/>
  <c r="A16" i="35"/>
  <c r="E135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E45" i="35"/>
  <c r="J79" i="35"/>
  <c r="J157" i="35"/>
  <c r="J122" i="35"/>
  <c r="H84" i="35"/>
  <c r="J84" i="35"/>
  <c r="H90" i="35"/>
  <c r="J90" i="35"/>
  <c r="A17" i="35"/>
  <c r="A18" i="35"/>
  <c r="A19" i="35"/>
  <c r="J200" i="35"/>
  <c r="E146" i="35"/>
  <c r="G52" i="37"/>
  <c r="E47" i="35"/>
  <c r="G53" i="37"/>
  <c r="E48" i="35"/>
  <c r="G55" i="37"/>
  <c r="E50" i="35"/>
  <c r="P39" i="37"/>
  <c r="Q39" i="37"/>
  <c r="F56" i="37"/>
  <c r="I39" i="37"/>
  <c r="M39" i="37"/>
  <c r="I35" i="37"/>
  <c r="K39" i="37"/>
  <c r="F35" i="37"/>
  <c r="R25" i="37"/>
  <c r="E25" i="35"/>
  <c r="E32" i="35"/>
  <c r="E42" i="35"/>
  <c r="H39" i="37"/>
  <c r="G39" i="37"/>
  <c r="M35" i="37"/>
  <c r="L35" i="37"/>
  <c r="Q35" i="37"/>
  <c r="L39" i="37"/>
  <c r="F39" i="37"/>
  <c r="R30" i="37"/>
  <c r="E30" i="35"/>
  <c r="E40" i="35"/>
  <c r="N35" i="37"/>
  <c r="R15" i="37"/>
  <c r="E15" i="35"/>
  <c r="G35" i="37"/>
  <c r="G42" i="37"/>
  <c r="O35" i="37"/>
  <c r="H35" i="37"/>
  <c r="J35" i="37"/>
  <c r="J42" i="37"/>
  <c r="E56" i="35"/>
  <c r="F65" i="37"/>
  <c r="A19" i="37"/>
  <c r="A20" i="37"/>
  <c r="G22" i="37"/>
  <c r="F22" i="37"/>
  <c r="E37" i="37"/>
  <c r="M22" i="37"/>
  <c r="N22" i="37"/>
  <c r="K22" i="37"/>
  <c r="O22" i="37"/>
  <c r="E22" i="37"/>
  <c r="E36" i="37"/>
  <c r="E42" i="37"/>
  <c r="H22" i="37"/>
  <c r="L22" i="37"/>
  <c r="P22" i="37"/>
  <c r="I22" i="37"/>
  <c r="J22" i="37"/>
  <c r="R18" i="37"/>
  <c r="F15" i="41"/>
  <c r="G14" i="41"/>
  <c r="H14" i="41"/>
  <c r="E24" i="41"/>
  <c r="F24" i="41"/>
  <c r="H24" i="41"/>
  <c r="G12" i="41"/>
  <c r="H12" i="41"/>
  <c r="G15" i="41"/>
  <c r="G13" i="41"/>
  <c r="H13" i="41"/>
  <c r="E23" i="41"/>
  <c r="R16" i="37"/>
  <c r="E16" i="35"/>
  <c r="Q22" i="37"/>
  <c r="R17" i="37"/>
  <c r="E17" i="35"/>
  <c r="J146" i="35"/>
  <c r="J147" i="35"/>
  <c r="H36" i="37"/>
  <c r="H32" i="37"/>
  <c r="Q36" i="37"/>
  <c r="O32" i="37"/>
  <c r="O36" i="37"/>
  <c r="K36" i="37"/>
  <c r="F37" i="37"/>
  <c r="R27" i="37"/>
  <c r="E27" i="35"/>
  <c r="M36" i="37"/>
  <c r="M32" i="37"/>
  <c r="N36" i="37"/>
  <c r="G36" i="37"/>
  <c r="H38" i="37"/>
  <c r="M38" i="37"/>
  <c r="M42" i="37"/>
  <c r="E18" i="35"/>
  <c r="E89" i="35"/>
  <c r="R22" i="37"/>
  <c r="J135" i="35"/>
  <c r="J138" i="35"/>
  <c r="J140" i="35"/>
  <c r="J143" i="35"/>
  <c r="R41" i="37"/>
  <c r="L32" i="37"/>
  <c r="A21" i="37"/>
  <c r="H15" i="41"/>
  <c r="E22" i="41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B22" i="3"/>
  <c r="R40" i="37"/>
  <c r="J141" i="35"/>
  <c r="N40" i="37"/>
  <c r="E32" i="37"/>
  <c r="E19" i="35"/>
  <c r="E39" i="35"/>
  <c r="P32" i="37"/>
  <c r="G32" i="37"/>
  <c r="K40" i="37"/>
  <c r="K32" i="37"/>
  <c r="F32" i="37"/>
  <c r="F36" i="37"/>
  <c r="I32" i="37"/>
  <c r="N32" i="37"/>
  <c r="A20" i="35"/>
  <c r="D27" i="3"/>
  <c r="D30" i="3"/>
  <c r="O38" i="37"/>
  <c r="J32" i="37"/>
  <c r="J38" i="37"/>
  <c r="D22" i="37"/>
  <c r="A22" i="37"/>
  <c r="A23" i="37"/>
  <c r="A24" i="37"/>
  <c r="A25" i="37"/>
  <c r="A21" i="35"/>
  <c r="K38" i="37"/>
  <c r="R28" i="37"/>
  <c r="E28" i="35"/>
  <c r="D22" i="35"/>
  <c r="A22" i="35"/>
  <c r="A23" i="35"/>
  <c r="A24" i="35"/>
  <c r="A25" i="35"/>
  <c r="D35" i="37"/>
  <c r="A26" i="37"/>
  <c r="A26" i="35"/>
  <c r="D35" i="35"/>
  <c r="D36" i="37"/>
  <c r="A27" i="37"/>
  <c r="A28" i="37"/>
  <c r="D37" i="37"/>
  <c r="A27" i="35"/>
  <c r="D36" i="35"/>
  <c r="E154" i="35"/>
  <c r="D37" i="35"/>
  <c r="E164" i="35"/>
  <c r="A28" i="35"/>
  <c r="A29" i="37"/>
  <c r="D38" i="37"/>
  <c r="A29" i="35"/>
  <c r="D38" i="35"/>
  <c r="D39" i="37"/>
  <c r="A30" i="37"/>
  <c r="A31" i="37"/>
  <c r="D40" i="37"/>
  <c r="A30" i="35"/>
  <c r="D39" i="35"/>
  <c r="A32" i="37"/>
  <c r="A33" i="37"/>
  <c r="A34" i="37"/>
  <c r="A35" i="37"/>
  <c r="D41" i="37"/>
  <c r="D32" i="37"/>
  <c r="A31" i="35"/>
  <c r="D40" i="35"/>
  <c r="A32" i="35"/>
  <c r="A33" i="35"/>
  <c r="A34" i="35"/>
  <c r="A35" i="35"/>
  <c r="D41" i="35"/>
  <c r="D32" i="35"/>
  <c r="A36" i="37"/>
  <c r="A37" i="37"/>
  <c r="A38" i="37"/>
  <c r="A39" i="37"/>
  <c r="A40" i="37"/>
  <c r="A41" i="37"/>
  <c r="A42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D56" i="37"/>
  <c r="D42" i="37"/>
  <c r="A36" i="35"/>
  <c r="A37" i="35"/>
  <c r="A38" i="35"/>
  <c r="A39" i="35"/>
  <c r="A40" i="35"/>
  <c r="A41" i="35"/>
  <c r="A42" i="35"/>
  <c r="A43" i="35"/>
  <c r="A44" i="35"/>
  <c r="A45" i="35"/>
  <c r="D42" i="35"/>
  <c r="A62" i="37"/>
  <c r="A63" i="37"/>
  <c r="A64" i="37"/>
  <c r="A65" i="37"/>
  <c r="D65" i="37"/>
  <c r="A46" i="35"/>
  <c r="A47" i="35"/>
  <c r="A48" i="35"/>
  <c r="A49" i="35"/>
  <c r="A50" i="35"/>
  <c r="A51" i="35"/>
  <c r="D51" i="35"/>
  <c r="A52" i="35"/>
  <c r="A53" i="35"/>
  <c r="A54" i="35"/>
  <c r="A55" i="35"/>
  <c r="A56" i="35"/>
  <c r="A57" i="35"/>
  <c r="A58" i="35"/>
  <c r="A59" i="35"/>
  <c r="A60" i="35"/>
  <c r="D60" i="35"/>
  <c r="A61" i="35"/>
  <c r="A62" i="35"/>
  <c r="D62" i="35"/>
  <c r="A76" i="35"/>
  <c r="A77" i="35"/>
  <c r="A78" i="35"/>
  <c r="A79" i="35"/>
  <c r="A80" i="35"/>
  <c r="A81" i="35"/>
  <c r="A82" i="35"/>
  <c r="A83" i="35"/>
  <c r="A84" i="35"/>
  <c r="A85" i="35"/>
  <c r="D56" i="35"/>
  <c r="A86" i="35"/>
  <c r="A87" i="35"/>
  <c r="A88" i="35"/>
  <c r="C85" i="35"/>
  <c r="A89" i="35"/>
  <c r="A90" i="35"/>
  <c r="A91" i="35"/>
  <c r="A92" i="35"/>
  <c r="A93" i="35"/>
  <c r="A94" i="35"/>
  <c r="A95" i="35"/>
  <c r="C91" i="35"/>
  <c r="A96" i="35"/>
  <c r="A97" i="35"/>
  <c r="A98" i="35"/>
  <c r="A99" i="35"/>
  <c r="A100" i="35"/>
  <c r="A101" i="35"/>
  <c r="C101" i="35"/>
  <c r="A102" i="35"/>
  <c r="A103" i="35"/>
  <c r="A104" i="35"/>
  <c r="A105" i="35"/>
  <c r="A106" i="35"/>
  <c r="A107" i="35"/>
  <c r="A108" i="35"/>
  <c r="A109" i="35"/>
  <c r="A110" i="35"/>
  <c r="A111" i="35"/>
  <c r="A112" i="35"/>
  <c r="A113" i="35"/>
  <c r="C115" i="35"/>
  <c r="A114" i="35"/>
  <c r="A115" i="35"/>
  <c r="D110" i="35"/>
  <c r="A116" i="35"/>
  <c r="A117" i="35"/>
  <c r="A118" i="35"/>
  <c r="A119" i="35"/>
  <c r="D52" i="31"/>
  <c r="A135" i="35"/>
  <c r="C119" i="35"/>
  <c r="A136" i="35"/>
  <c r="A137" i="35"/>
  <c r="A138" i="35"/>
  <c r="A139" i="35"/>
  <c r="A140" i="35"/>
  <c r="C140" i="35"/>
  <c r="C138" i="35"/>
  <c r="A141" i="35"/>
  <c r="A142" i="35"/>
  <c r="A143" i="35"/>
  <c r="A144" i="35"/>
  <c r="A145" i="35"/>
  <c r="A146" i="35"/>
  <c r="C143" i="35"/>
  <c r="A147" i="35"/>
  <c r="A148" i="35"/>
  <c r="A149" i="35"/>
  <c r="C139" i="35"/>
  <c r="A150" i="35"/>
  <c r="A151" i="35"/>
  <c r="A152" i="35"/>
  <c r="A153" i="35"/>
  <c r="A154" i="35"/>
  <c r="C141" i="35"/>
  <c r="C151" i="35"/>
  <c r="C149" i="35"/>
  <c r="A155" i="35"/>
  <c r="A156" i="35"/>
  <c r="C156" i="35"/>
  <c r="A157" i="35"/>
  <c r="A158" i="35"/>
  <c r="C159" i="35"/>
  <c r="C158" i="35"/>
  <c r="C161" i="35"/>
  <c r="A159" i="35"/>
  <c r="A160" i="35"/>
  <c r="A161" i="35"/>
  <c r="A162" i="35"/>
  <c r="A163" i="35"/>
  <c r="A164" i="35"/>
  <c r="A165" i="35"/>
  <c r="A166" i="35"/>
  <c r="C157" i="35"/>
  <c r="A167" i="35"/>
  <c r="A168" i="35"/>
  <c r="A169" i="35"/>
  <c r="A170" i="35"/>
  <c r="A171" i="35"/>
  <c r="A172" i="35"/>
  <c r="A173" i="35"/>
  <c r="C168" i="35"/>
  <c r="C166" i="35"/>
  <c r="A174" i="35"/>
  <c r="A175" i="35"/>
  <c r="A176" i="35"/>
  <c r="A177" i="35"/>
  <c r="A178" i="35"/>
  <c r="A179" i="35"/>
  <c r="C175" i="35"/>
  <c r="A180" i="35"/>
  <c r="A181" i="35"/>
  <c r="A182" i="35"/>
  <c r="A183" i="35"/>
  <c r="A184" i="35"/>
  <c r="A185" i="35"/>
  <c r="A186" i="35"/>
  <c r="A187" i="35"/>
  <c r="A188" i="35"/>
  <c r="A189" i="35"/>
  <c r="C181" i="35"/>
  <c r="A190" i="35"/>
  <c r="A191" i="35"/>
  <c r="A192" i="35"/>
  <c r="A193" i="35"/>
  <c r="A194" i="35"/>
  <c r="A195" i="35"/>
  <c r="A196" i="35"/>
  <c r="D198" i="35"/>
  <c r="E193" i="35"/>
  <c r="A197" i="35"/>
  <c r="A198" i="35"/>
  <c r="A199" i="35"/>
  <c r="C113" i="35"/>
  <c r="C107" i="35"/>
  <c r="C199" i="35"/>
  <c r="D28" i="3"/>
  <c r="G22" i="41"/>
  <c r="E41" i="35"/>
  <c r="E45" i="41"/>
  <c r="G23" i="41"/>
  <c r="G24" i="41"/>
  <c r="G65" i="37"/>
  <c r="G56" i="37"/>
  <c r="D32" i="3"/>
  <c r="D33" i="3"/>
  <c r="D34" i="3"/>
  <c r="D31" i="3"/>
  <c r="F23" i="41"/>
  <c r="H23" i="41"/>
  <c r="E25" i="41"/>
  <c r="E43" i="41"/>
  <c r="H14" i="3"/>
  <c r="P42" i="37"/>
  <c r="O42" i="37"/>
  <c r="N42" i="37"/>
  <c r="L42" i="37"/>
  <c r="K42" i="37"/>
  <c r="H42" i="37"/>
  <c r="E26" i="35"/>
  <c r="E36" i="35"/>
  <c r="E38" i="35"/>
  <c r="R38" i="37"/>
  <c r="R39" i="37"/>
  <c r="E37" i="35"/>
  <c r="J164" i="35"/>
  <c r="J168" i="35"/>
  <c r="F42" i="37"/>
  <c r="R37" i="37"/>
  <c r="E35" i="35"/>
  <c r="R35" i="37"/>
  <c r="R32" i="37"/>
  <c r="J154" i="35"/>
  <c r="J156" i="35"/>
  <c r="J158" i="35"/>
  <c r="J159" i="35"/>
  <c r="R42" i="37"/>
  <c r="E88" i="35"/>
  <c r="E91" i="35"/>
  <c r="E22" i="35"/>
  <c r="J151" i="35"/>
  <c r="E51" i="35"/>
  <c r="E115" i="35"/>
  <c r="J161" i="35"/>
  <c r="H26" i="35"/>
  <c r="J26" i="35"/>
  <c r="H16" i="35"/>
  <c r="J16" i="35"/>
  <c r="H58" i="35"/>
  <c r="J58" i="35"/>
  <c r="H76" i="35"/>
  <c r="G179" i="35"/>
  <c r="H88" i="35"/>
  <c r="J88" i="35"/>
  <c r="F172" i="35"/>
  <c r="H172" i="35"/>
  <c r="H175" i="35"/>
  <c r="J175" i="35"/>
  <c r="J41" i="35"/>
  <c r="E180" i="35"/>
  <c r="J165" i="35"/>
  <c r="E179" i="35"/>
  <c r="H83" i="35"/>
  <c r="J83" i="35"/>
  <c r="H77" i="35"/>
  <c r="J77" i="35"/>
  <c r="J76" i="35"/>
  <c r="H18" i="35"/>
  <c r="H95" i="35"/>
  <c r="E181" i="35"/>
  <c r="J36" i="35"/>
  <c r="F180" i="35"/>
  <c r="F179" i="35"/>
  <c r="H96" i="35"/>
  <c r="J96" i="35"/>
  <c r="J95" i="35"/>
  <c r="J18" i="35"/>
  <c r="H28" i="35"/>
  <c r="H19" i="35"/>
  <c r="J19" i="35"/>
  <c r="F181" i="35"/>
  <c r="H179" i="35"/>
  <c r="J181" i="35"/>
  <c r="J28" i="35"/>
  <c r="H29" i="35"/>
  <c r="J29" i="35"/>
  <c r="J39" i="35"/>
  <c r="H78" i="35"/>
  <c r="H89" i="35"/>
  <c r="J89" i="35"/>
  <c r="J91" i="35"/>
  <c r="H82" i="35"/>
  <c r="J82" i="35"/>
  <c r="H80" i="35"/>
  <c r="J78" i="35"/>
  <c r="H20" i="35"/>
  <c r="H57" i="35"/>
  <c r="J57" i="35"/>
  <c r="J38" i="35"/>
  <c r="H81" i="35"/>
  <c r="J81" i="35"/>
  <c r="J80" i="35"/>
  <c r="J85" i="35"/>
  <c r="J56" i="35"/>
  <c r="J20" i="35"/>
  <c r="H30" i="35"/>
  <c r="J30" i="35"/>
  <c r="J32" i="35"/>
  <c r="J40" i="35"/>
  <c r="J42" i="35"/>
  <c r="H42" i="35"/>
  <c r="J22" i="35"/>
  <c r="H22" i="35"/>
  <c r="H98" i="35"/>
  <c r="H59" i="35"/>
  <c r="J59" i="35"/>
  <c r="J60" i="35"/>
  <c r="H46" i="35"/>
  <c r="J46" i="35"/>
  <c r="H47" i="35"/>
  <c r="J47" i="35"/>
  <c r="H49" i="35"/>
  <c r="H48" i="35"/>
  <c r="J48" i="35"/>
  <c r="J98" i="35"/>
  <c r="H100" i="35"/>
  <c r="J100" i="35"/>
  <c r="J101" i="35"/>
  <c r="J49" i="35"/>
  <c r="H50" i="35"/>
  <c r="J50" i="35"/>
  <c r="J51" i="35"/>
  <c r="J62" i="35"/>
  <c r="J112" i="35"/>
  <c r="J110" i="35"/>
  <c r="J115" i="35"/>
  <c r="D22" i="41"/>
  <c r="J119" i="35"/>
  <c r="M52" i="31"/>
  <c r="M54" i="31"/>
  <c r="F22" i="41"/>
  <c r="D25" i="41"/>
  <c r="E42" i="41"/>
  <c r="F25" i="41"/>
  <c r="E44" i="41"/>
  <c r="E46" i="41"/>
  <c r="H22" i="41"/>
  <c r="H25" i="41"/>
  <c r="F28" i="41"/>
  <c r="F29" i="41"/>
  <c r="F30" i="41"/>
  <c r="F31" i="41"/>
  <c r="F33" i="41"/>
  <c r="F32" i="41"/>
  <c r="F34" i="41"/>
</calcChain>
</file>

<file path=xl/comments1.xml><?xml version="1.0" encoding="utf-8"?>
<comments xmlns="http://schemas.openxmlformats.org/spreadsheetml/2006/main">
  <authors>
    <author>Chris Kilpatrick</author>
    <author>Hoffman, Cody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  <comment ref="D24" authorId="1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Updated Rev Req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J50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Inlcudes Regulatory Liability Account 254-015</t>
        </r>
      </text>
    </comment>
  </commentList>
</comments>
</file>

<file path=xl/comments3.xml><?xml version="1.0" encoding="utf-8"?>
<comments xmlns="http://schemas.openxmlformats.org/spreadsheetml/2006/main">
  <authors>
    <author>Hoffman, Cody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<sst xmlns="http://schemas.openxmlformats.org/spreadsheetml/2006/main" count="834" uniqueCount="484">
  <si>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</si>
  <si>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</si>
  <si>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</si>
  <si>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</si>
  <si>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</si>
  <si>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</si>
  <si>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</si>
  <si>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</si>
  <si>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</si>
  <si>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</si>
  <si>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</si>
  <si>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</si>
  <si>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</si>
  <si>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</si>
  <si>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</si>
  <si>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</si>
  <si>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</si>
  <si>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</si>
  <si>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</si>
  <si>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</si>
  <si>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</si>
  <si>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</si>
  <si>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</si>
  <si>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</si>
  <si>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</si>
  <si>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</si>
  <si>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</si>
  <si>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</si>
  <si>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</si>
  <si>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</si>
  <si>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</si>
  <si>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</si>
  <si>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</si>
  <si>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</si>
  <si>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</si>
  <si>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</si>
  <si>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</si>
  <si>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</si>
  <si>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</si>
  <si>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</si>
  <si>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</si>
  <si>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</si>
  <si>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</si>
  <si>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</si>
  <si>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</si>
  <si>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</si>
  <si>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</si>
  <si>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</si>
  <si>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</si>
  <si>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</si>
  <si>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</si>
  <si>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</si>
  <si>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</si>
  <si>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</si>
  <si>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</si>
  <si>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</si>
  <si>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</si>
  <si>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</si>
  <si>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</si>
  <si>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</si>
  <si>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</si>
  <si>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</si>
  <si>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</si>
  <si>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</si>
  <si>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</si>
  <si>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</si>
  <si>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</si>
  <si>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</si>
  <si>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</si>
  <si>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</si>
  <si>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</si>
  <si>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</si>
  <si>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</si>
  <si>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</si>
  <si>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</si>
  <si>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</si>
  <si>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</si>
  <si>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</si>
  <si>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</si>
  <si>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</si>
  <si>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</si>
  <si>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</si>
  <si>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</si>
  <si>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</si>
  <si>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</si>
  <si>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</si>
  <si>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</si>
  <si>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</si>
  <si>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</si>
  <si>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</si>
  <si>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</si>
  <si>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</si>
  <si>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</si>
  <si>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</si>
  <si>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</si>
  <si>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</si>
  <si>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</si>
  <si>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</si>
  <si>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</si>
  <si>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</si>
  <si>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</si>
  <si>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</si>
  <si>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</si>
  <si>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</si>
  <si>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</si>
  <si>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</si>
  <si>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</si>
  <si>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</si>
  <si>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</si>
  <si>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</si>
  <si>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</si>
  <si>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</si>
  <si>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</si>
  <si>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</si>
  <si>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</si>
  <si>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</si>
  <si>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</si>
  <si>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</si>
  <si>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</si>
  <si>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</si>
  <si>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</si>
  <si>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</si>
  <si>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</si>
  <si>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</si>
  <si>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</si>
  <si>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</si>
  <si>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</si>
  <si>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</si>
  <si>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</si>
  <si>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</si>
  <si>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</si>
  <si>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</si>
  <si>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</si>
  <si>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</si>
  <si>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</si>
  <si>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</si>
  <si>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</si>
  <si>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</si>
  <si>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</si>
  <si>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</si>
  <si>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</si>
  <si>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</si>
  <si>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</si>
  <si>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</si>
  <si>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</si>
  <si>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</si>
  <si>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</si>
  <si>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</si>
  <si>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</si>
  <si>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</si>
  <si>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</si>
  <si>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</si>
  <si>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</si>
  <si>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</si>
  <si>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</si>
  <si>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</si>
  <si>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</si>
  <si>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</si>
  <si>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</si>
  <si>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</si>
  <si>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</si>
  <si>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</si>
  <si>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</si>
  <si>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</si>
  <si>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</si>
  <si>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</si>
  <si>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</si>
  <si>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</si>
  <si>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</si>
  <si>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</si>
  <si>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</si>
  <si>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</si>
  <si>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</si>
  <si>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</si>
  <si>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</si>
  <si>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</si>
  <si>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</si>
  <si>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</si>
  <si>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</si>
  <si>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</si>
  <si>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</si>
  <si>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</si>
  <si>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</si>
  <si>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</si>
  <si>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</si>
  <si>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</si>
  <si>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</si>
  <si>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</si>
  <si>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</si>
  <si>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</si>
  <si>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</si>
  <si>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</si>
  <si>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</si>
  <si>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</si>
  <si>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</si>
  <si>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</si>
  <si>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</si>
  <si>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</si>
  <si>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</si>
  <si>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</si>
  <si>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</si>
  <si>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</si>
  <si>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</si>
  <si>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</si>
  <si>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</si>
  <si>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</si>
  <si>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</si>
  <si>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</si>
  <si>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</si>
  <si>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</si>
  <si>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</si>
  <si>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</si>
  <si>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</si>
  <si>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</si>
  <si>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</si>
  <si>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</si>
  <si>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</si>
  <si>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</si>
  <si>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</si>
  <si>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</si>
  <si>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</si>
  <si>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</si>
  <si>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</si>
  <si>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</si>
  <si>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</si>
  <si>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</si>
  <si>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</si>
  <si>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</si>
  <si>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</si>
  <si>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</si>
  <si>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</si>
  <si>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</si>
  <si>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</si>
  <si>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</si>
  <si>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</si>
  <si>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</si>
  <si>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</si>
  <si>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</si>
  <si>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</si>
  <si>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</si>
  <si>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</si>
  <si>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</si>
  <si>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</si>
  <si>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</si>
  <si>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</si>
  <si>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</si>
  <si>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</si>
  <si>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</si>
  <si>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</si>
  <si>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</si>
  <si>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</si>
  <si>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</si>
  <si>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</si>
  <si>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</si>
  <si>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</si>
  <si>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</si>
  <si>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</si>
  <si>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</si>
  <si>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</si>
  <si>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</si>
  <si>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</si>
  <si>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</si>
  <si>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</si>
  <si>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</si>
  <si>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</si>
  <si>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</si>
  <si>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</si>
  <si>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</si>
  <si>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</si>
  <si>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</si>
  <si>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</si>
  <si>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</si>
  <si>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</si>
  <si>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</si>
  <si>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</si>
  <si>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</si>
  <si>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</si>
  <si>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</si>
  <si>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</si>
  <si>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</si>
  <si>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</si>
  <si>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</si>
  <si>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</si>
  <si>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</si>
  <si>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</si>
  <si>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</si>
  <si>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</si>
  <si>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</si>
  <si>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</si>
  <si>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</si>
  <si>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</si>
  <si>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</si>
  <si>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</si>
  <si>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</si>
  <si>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</si>
  <si>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</si>
  <si>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</si>
  <si>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</si>
  <si>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</si>
  <si>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</si>
  <si>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</si>
  <si>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</si>
  <si>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</si>
  <si>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</si>
  <si>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</si>
  <si>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</si>
  <si>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</si>
  <si>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</si>
  <si>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</si>
  <si>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</si>
  <si>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</si>
  <si>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</si>
  <si>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</si>
  <si>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</si>
  <si>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</si>
  <si>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</si>
  <si>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</si>
  <si>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</si>
  <si>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</si>
  <si>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</si>
  <si>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</si>
  <si>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</si>
  <si>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</si>
  <si>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</si>
  <si>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</si>
  <si>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</si>
  <si>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</si>
  <si>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</si>
  <si>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</si>
  <si>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</si>
  <si>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</si>
  <si>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</si>
  <si>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</si>
  <si>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</si>
  <si>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</si>
  <si>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</si>
  <si>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</si>
  <si>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</si>
  <si>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</si>
  <si>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</si>
  <si>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</si>
  <si>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</si>
  <si>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</si>
  <si>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</si>
  <si>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</si>
  <si>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</si>
  <si>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</si>
  <si>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</si>
  <si>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</si>
  <si>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</si>
  <si>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</si>
  <si>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</si>
  <si>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</si>
  <si>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</si>
  <si>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</si>
  <si>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</si>
  <si>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</si>
  <si>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</si>
  <si>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</si>
  <si>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</si>
  <si>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</si>
  <si>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</si>
  <si>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</si>
  <si>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</si>
  <si>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</si>
  <si>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</si>
  <si>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</si>
  <si>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</si>
  <si>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</si>
  <si>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</si>
  <si>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</si>
  <si>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</si>
  <si>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</si>
  <si>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</si>
  <si>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</si>
  <si>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</si>
  <si>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</si>
  <si>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</si>
  <si>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</si>
  <si>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</si>
  <si>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</si>
  <si>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</si>
  <si>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</si>
  <si>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</si>
  <si>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</si>
  <si>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</si>
  <si>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</si>
  <si>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</si>
  <si>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</si>
  <si>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</si>
  <si>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</si>
  <si>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</si>
  <si>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</si>
  <si>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</si>
  <si>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</si>
  <si>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</si>
  <si>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</si>
  <si>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</si>
  <si>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</si>
  <si>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</si>
  <si>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</si>
  <si>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</si>
  <si>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</si>
  <si>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</si>
  <si>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</si>
  <si>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</si>
  <si>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</si>
  <si>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207.99.g - line 6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</si>
  <si>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</si>
  <si>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</si>
  <si>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</si>
  <si>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</si>
  <si>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</si>
  <si>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</si>
  <si>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</si>
  <si>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</si>
  <si>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</si>
  <si>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</si>
  <si>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</si>
  <si>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</si>
  <si>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</si>
  <si>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</si>
  <si>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</si>
  <si>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</si>
  <si>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</si>
  <si>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</si>
  <si>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</si>
  <si>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</si>
  <si>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</si>
  <si>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</si>
  <si>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</si>
  <si>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</si>
  <si>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</si>
  <si>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</si>
  <si>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</si>
  <si>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</si>
  <si>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</si>
  <si>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</si>
  <si>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</si>
  <si>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</si>
  <si>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</si>
  <si>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</si>
  <si>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</si>
  <si>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</si>
  <si>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</si>
  <si>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</si>
  <si>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</si>
  <si>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TRUE UP OF RATES FOR CALENDAR YEAR 2018</t>
  </si>
  <si>
    <t>278.2.c</t>
  </si>
  <si>
    <t>(232.1.f)*.21 + (278.2.b/f)</t>
  </si>
  <si>
    <t>Date: May 31, 2020</t>
  </si>
  <si>
    <t>Actual 2019 Load</t>
  </si>
  <si>
    <t>Amount based on actual calendar year 2019</t>
  </si>
  <si>
    <t>12/31/18 &amp; 12/31/19 average balance</t>
  </si>
  <si>
    <r>
      <t>2019 Actual Load Data</t>
    </r>
    <r>
      <rPr>
        <b/>
        <vertAlign val="superscript"/>
        <sz val="12"/>
        <rFont val="Arial"/>
        <family val="2"/>
      </rPr>
      <t>1</t>
    </r>
  </si>
  <si>
    <r>
      <t>2019 Projected Load Data</t>
    </r>
    <r>
      <rPr>
        <b/>
        <vertAlign val="superscript"/>
        <sz val="12"/>
        <rFont val="Arial"/>
        <family val="2"/>
      </rPr>
      <t>2</t>
    </r>
  </si>
  <si>
    <t>Actual Expenses (2019)</t>
  </si>
  <si>
    <t>O&amp;M - Acct 561 (2018)</t>
  </si>
  <si>
    <t xml:space="preserve">Horizon Point Campus </t>
  </si>
  <si>
    <t>Sum of act_cost</t>
  </si>
  <si>
    <t>Sum of allo_res</t>
  </si>
  <si>
    <t>Accumulated Depreciation Variance</t>
  </si>
  <si>
    <t>ADIT Impact</t>
  </si>
  <si>
    <t>EDFIT Impact</t>
  </si>
  <si>
    <t>Horizon Point Facility Costs 2019 True-Up for Shared Service Rent Revenues</t>
  </si>
  <si>
    <t>Rate Base</t>
  </si>
  <si>
    <t>Book</t>
  </si>
  <si>
    <t>Tax</t>
  </si>
  <si>
    <t>Gross</t>
  </si>
  <si>
    <t>Depreciation</t>
  </si>
  <si>
    <t>DTL</t>
  </si>
  <si>
    <t>End of Period</t>
  </si>
  <si>
    <t>Average Rate Base</t>
  </si>
  <si>
    <t>For Yr.:</t>
  </si>
  <si>
    <t>Property Tax</t>
  </si>
  <si>
    <t>(See Workpaper 7 2019 Actual Load Data)</t>
  </si>
  <si>
    <t>PowerPlant Accum Depr 1201 Report</t>
  </si>
  <si>
    <t>% of Total</t>
  </si>
  <si>
    <t>RWIP from Balance Sheet (Acct 108001)</t>
  </si>
  <si>
    <t xml:space="preserve">Production </t>
  </si>
  <si>
    <t>Distribution</t>
  </si>
  <si>
    <t>general and Intang</t>
  </si>
  <si>
    <t>Reference: See Workpaper 13 in Supplemental Supporting Schedule</t>
  </si>
  <si>
    <t>Effective August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</si>
</sst>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* #,##0.0_);_(* \(#,##0.0\);_(* &quot;-&quot;??_);_(@_)"/>
    <numFmt numFmtId="179" formatCode="_(&quot;$&quot;* #,##0.0000_);_(&quot;$&quot;* \(#,##0.0000\);_(&quot;$&quot;* &quot;-&quot;??_);_(@_)"/>
    <numFmt numFmtId="180" formatCode="_(&quot;$&quot;* #,##0.00000_);_(&quot;$&quot;* \(#,##0.00000\);_(&quot;$&quot;* &quot;-&quot;??_);_(@_)"/>
    <numFmt numFmtId="181" formatCode="mmm\-yyyy"/>
    <numFmt numFmtId="182" formatCode="0.0000%"/>
    <numFmt numFmtId="183" formatCode="#,##0.000000"/>
    <numFmt numFmtId="184" formatCode="[$-409]mmm\-yy;@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  <numFmt numFmtId="202" formatCode="[$-409]mmmm\ d\,\ yyyy;@"/>
    <numFmt numFmtId="207" formatCode="0.000"/>
    <numFmt numFmtId="208" formatCode="_(* #,##0.00000_);_(* \(#,##0.00000\);_(* &quot;-&quot;??_);_(@_)"/>
  </numFmts>
  <fonts count="103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i/>
      <sz val="12"/>
      <name val="Arial MT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45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44">
    <xf numFmtId="172" fontId="0" fillId="0" borderId="0" applyProtection="0"/>
    <xf numFmtId="0" fontId="6" fillId="0" borderId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0" fontId="6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38" fontId="48" fillId="0" borderId="0" applyBorder="0" applyAlignment="0"/>
    <xf numFmtId="185" fontId="43" fillId="20" borderId="1">
      <alignment horizontal="center" vertical="center"/>
    </xf>
    <xf numFmtId="186" fontId="6" fillId="0" borderId="2">
      <alignment horizontal="left"/>
    </xf>
    <xf numFmtId="0" fontId="49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0" fillId="0" borderId="0" applyNumberFormat="0" applyFill="0" applyBorder="0" applyAlignment="0" applyProtection="0"/>
    <xf numFmtId="187" fontId="51" fillId="0" borderId="3" applyNumberFormat="0" applyFill="0" applyAlignment="0" applyProtection="0">
      <alignment horizontal="center"/>
    </xf>
    <xf numFmtId="188" fontId="51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2" fillId="0" borderId="0" applyFill="0">
      <alignment vertical="top"/>
    </xf>
    <xf numFmtId="0" fontId="53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2" fillId="0" borderId="0" applyFill="0">
      <alignment wrapText="1"/>
    </xf>
    <xf numFmtId="0" fontId="53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5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6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9" fillId="0" borderId="0" applyFill="0">
      <alignment horizontal="center" vertical="center" wrapText="1"/>
    </xf>
    <xf numFmtId="0" fontId="60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61" fillId="0" borderId="0">
      <alignment horizontal="center" wrapText="1"/>
    </xf>
    <xf numFmtId="0" fontId="62" fillId="0" borderId="0" applyFill="0">
      <alignment horizontal="center" wrapText="1"/>
    </xf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64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6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6" fillId="0" borderId="0" applyFont="0" applyFill="0" applyBorder="0" applyAlignment="0" applyProtection="0"/>
    <xf numFmtId="8" fontId="66" fillId="0" borderId="0" applyFont="0" applyFill="0" applyBorder="0" applyAlignment="0" applyProtection="0"/>
    <xf numFmtId="190" fontId="6" fillId="0" borderId="2">
      <alignment horizontal="center"/>
    </xf>
    <xf numFmtId="191" fontId="6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2" fontId="6" fillId="0" borderId="0">
      <protection locked="0"/>
    </xf>
    <xf numFmtId="0" fontId="66" fillId="0" borderId="0"/>
    <xf numFmtId="0" fontId="67" fillId="0" borderId="0"/>
    <xf numFmtId="0" fontId="68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38" fontId="10" fillId="23" borderId="0" applyNumberFormat="0" applyBorder="0" applyAlignment="0" applyProtection="0"/>
    <xf numFmtId="0" fontId="69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0" fillId="0" borderId="0">
      <alignment horizontal="center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3" fontId="6" fillId="0" borderId="0">
      <protection locked="0"/>
    </xf>
    <xf numFmtId="193" fontId="6" fillId="0" borderId="0">
      <protection locked="0"/>
    </xf>
    <xf numFmtId="0" fontId="71" fillId="0" borderId="14" applyNumberFormat="0" applyFill="0" applyAlignment="0" applyProtection="0"/>
    <xf numFmtId="0" fontId="33" fillId="7" borderId="7" applyNumberFormat="0" applyAlignment="0" applyProtection="0"/>
    <xf numFmtId="10" fontId="10" fillId="24" borderId="2" applyNumberFormat="0" applyBorder="0" applyAlignment="0" applyProtection="0"/>
    <xf numFmtId="0" fontId="33" fillId="7" borderId="7" applyNumberFormat="0" applyAlignment="0" applyProtection="0"/>
    <xf numFmtId="0" fontId="10" fillId="23" borderId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194" fontId="6" fillId="0" borderId="2">
      <alignment horizontal="center"/>
    </xf>
    <xf numFmtId="195" fontId="72" fillId="0" borderId="0"/>
    <xf numFmtId="17" fontId="73" fillId="0" borderId="0">
      <alignment horizontal="center"/>
    </xf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3" fontId="74" fillId="0" borderId="0" applyNumberFormat="0" applyFill="0" applyBorder="0" applyAlignment="0" applyProtection="0"/>
    <xf numFmtId="0" fontId="51" fillId="0" borderId="0" applyNumberFormat="0" applyFill="0" applyAlignment="0" applyProtection="0"/>
    <xf numFmtId="37" fontId="75" fillId="0" borderId="0"/>
    <xf numFmtId="198" fontId="76" fillId="0" borderId="0"/>
    <xf numFmtId="172" fontId="1" fillId="0" borderId="0" applyProtection="0"/>
    <xf numFmtId="0" fontId="6" fillId="0" borderId="0"/>
    <xf numFmtId="0" fontId="96" fillId="0" borderId="0"/>
    <xf numFmtId="0" fontId="64" fillId="0" borderId="0"/>
    <xf numFmtId="0" fontId="6" fillId="0" borderId="0"/>
    <xf numFmtId="0" fontId="91" fillId="0" borderId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9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6" fillId="21" borderId="17" applyNumberFormat="0" applyAlignment="0" applyProtection="0"/>
    <xf numFmtId="0" fontId="36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3">
      <alignment horizontal="center"/>
    </xf>
    <xf numFmtId="3" fontId="37" fillId="0" borderId="0" applyFont="0" applyFill="0" applyBorder="0" applyAlignment="0" applyProtection="0"/>
    <xf numFmtId="0" fontId="37" fillId="27" borderId="0" applyNumberFormat="0" applyFont="0" applyBorder="0" applyAlignment="0" applyProtection="0"/>
    <xf numFmtId="37" fontId="10" fillId="23" borderId="0" applyFill="0">
      <alignment horizontal="right"/>
    </xf>
    <xf numFmtId="0" fontId="58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7" fillId="0" borderId="0" applyFill="0"/>
    <xf numFmtId="0" fontId="10" fillId="0" borderId="0" applyFill="0">
      <alignment horizontal="left"/>
    </xf>
    <xf numFmtId="200" fontId="10" fillId="0" borderId="4" applyFill="0">
      <alignment horizontal="right"/>
    </xf>
    <xf numFmtId="0" fontId="6" fillId="0" borderId="0" applyNumberFormat="0" applyFont="0" applyBorder="0" applyAlignment="0"/>
    <xf numFmtId="0" fontId="55" fillId="0" borderId="0" applyFill="0">
      <alignment horizontal="left" indent="1"/>
    </xf>
    <xf numFmtId="0" fontId="58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5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8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7" fillId="0" borderId="0">
      <alignment horizontal="left" indent="4"/>
    </xf>
    <xf numFmtId="0" fontId="10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Border="0" applyAlignment="0"/>
    <xf numFmtId="0" fontId="59" fillId="0" borderId="0">
      <alignment horizontal="left" indent="5"/>
    </xf>
    <xf numFmtId="0" fontId="58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Fill="0" applyBorder="0" applyAlignment="0"/>
    <xf numFmtId="0" fontId="61" fillId="0" borderId="0" applyFill="0">
      <alignment horizontal="left" indent="6"/>
    </xf>
    <xf numFmtId="0" fontId="58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79" fillId="0" borderId="0" applyNumberFormat="0" applyAlignment="0">
      <alignment horizontal="centerContinuous"/>
    </xf>
    <xf numFmtId="0" fontId="51" fillId="0" borderId="4" applyNumberFormat="0" applyFill="0" applyAlignment="0" applyProtection="0"/>
    <xf numFmtId="37" fontId="80" fillId="0" borderId="0" applyNumberFormat="0">
      <alignment horizontal="left"/>
    </xf>
    <xf numFmtId="201" fontId="6" fillId="0" borderId="2">
      <alignment horizontal="center" wrapText="1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81" fillId="0" borderId="0" applyNumberFormat="0">
      <alignment horizontal="left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195" fontId="84" fillId="0" borderId="0"/>
    <xf numFmtId="40" fontId="8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6" fillId="0" borderId="14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53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72" applyFill="1"/>
    <xf numFmtId="173" fontId="6" fillId="0" borderId="0" xfId="105" applyNumberFormat="1" applyFont="1" applyFill="1"/>
    <xf numFmtId="0" fontId="6" fillId="0" borderId="0" xfId="171" applyFont="1" applyFill="1"/>
    <xf numFmtId="0" fontId="6" fillId="0" borderId="0" xfId="171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19" xfId="169" applyFill="1" applyBorder="1" applyAlignment="1">
      <alignment horizontal="center"/>
    </xf>
    <xf numFmtId="0" fontId="6" fillId="0" borderId="20" xfId="169" applyFill="1" applyBorder="1" applyAlignment="1">
      <alignment horizontal="center"/>
    </xf>
    <xf numFmtId="0" fontId="6" fillId="0" borderId="21" xfId="169" applyFill="1" applyBorder="1" applyAlignment="1">
      <alignment horizontal="center"/>
    </xf>
    <xf numFmtId="0" fontId="6" fillId="0" borderId="0" xfId="169" applyFill="1" applyBorder="1" applyAlignment="1">
      <alignment horizontal="center"/>
    </xf>
    <xf numFmtId="0" fontId="6" fillId="0" borderId="21" xfId="169" applyFont="1" applyFill="1" applyBorder="1" applyAlignment="1">
      <alignment horizontal="center"/>
    </xf>
    <xf numFmtId="0" fontId="6" fillId="0" borderId="22" xfId="169" applyFill="1" applyBorder="1" applyAlignment="1">
      <alignment horizontal="center"/>
    </xf>
    <xf numFmtId="0" fontId="6" fillId="0" borderId="3" xfId="169" applyFill="1" applyBorder="1" applyAlignment="1">
      <alignment horizontal="center"/>
    </xf>
    <xf numFmtId="0" fontId="6" fillId="0" borderId="21" xfId="169" applyFill="1" applyBorder="1"/>
    <xf numFmtId="1" fontId="6" fillId="0" borderId="23" xfId="169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3" fillId="0" borderId="0" xfId="172" applyFont="1" applyFill="1" applyAlignment="1">
      <alignment horizontal="left"/>
    </xf>
    <xf numFmtId="0" fontId="6" fillId="0" borderId="19" xfId="169" applyFont="1" applyFill="1" applyBorder="1" applyAlignment="1">
      <alignment horizontal="center"/>
    </xf>
    <xf numFmtId="0" fontId="6" fillId="0" borderId="22" xfId="169" applyFont="1" applyFill="1" applyBorder="1" applyAlignment="1">
      <alignment horizontal="center"/>
    </xf>
    <xf numFmtId="0" fontId="6" fillId="0" borderId="21" xfId="169" quotePrefix="1" applyFont="1" applyFill="1" applyBorder="1" applyAlignment="1">
      <alignment horizontal="left"/>
    </xf>
    <xf numFmtId="0" fontId="6" fillId="0" borderId="20" xfId="169" applyFill="1" applyBorder="1"/>
    <xf numFmtId="0" fontId="6" fillId="0" borderId="0" xfId="169" applyFill="1" applyBorder="1"/>
    <xf numFmtId="0" fontId="6" fillId="0" borderId="22" xfId="169" quotePrefix="1" applyFont="1" applyFill="1" applyBorder="1" applyAlignment="1">
      <alignment horizontal="left"/>
    </xf>
    <xf numFmtId="0" fontId="6" fillId="0" borderId="3" xfId="169" applyFill="1" applyBorder="1"/>
    <xf numFmtId="0" fontId="18" fillId="0" borderId="0" xfId="170" applyFont="1" applyFill="1" applyAlignment="1">
      <alignment horizontal="center"/>
    </xf>
    <xf numFmtId="0" fontId="6" fillId="0" borderId="0" xfId="169" applyFont="1" applyFill="1" applyAlignment="1">
      <alignment horizontal="left"/>
    </xf>
    <xf numFmtId="0" fontId="6" fillId="0" borderId="0" xfId="169" applyFill="1"/>
    <xf numFmtId="0" fontId="6" fillId="0" borderId="0" xfId="169" applyFill="1" applyAlignment="1">
      <alignment horizontal="left"/>
    </xf>
    <xf numFmtId="172" fontId="18" fillId="0" borderId="0" xfId="0" applyFont="1" applyFill="1" applyAlignment="1"/>
    <xf numFmtId="0" fontId="10" fillId="0" borderId="0" xfId="174" applyFont="1" applyFill="1"/>
    <xf numFmtId="172" fontId="18" fillId="0" borderId="0" xfId="0" applyFont="1" applyFill="1"/>
    <xf numFmtId="172" fontId="16" fillId="0" borderId="0" xfId="0" applyFont="1" applyFill="1" applyAlignment="1">
      <alignment horizontal="center"/>
    </xf>
    <xf numFmtId="0" fontId="10" fillId="0" borderId="0" xfId="174" applyFont="1" applyFill="1" applyAlignment="1">
      <alignment horizontal="center"/>
    </xf>
    <xf numFmtId="164" fontId="10" fillId="0" borderId="0" xfId="174" applyNumberFormat="1" applyFont="1" applyFill="1"/>
    <xf numFmtId="0" fontId="13" fillId="0" borderId="0" xfId="174" applyFont="1" applyFill="1"/>
    <xf numFmtId="0" fontId="16" fillId="0" borderId="0" xfId="174" applyFont="1" applyFill="1"/>
    <xf numFmtId="6" fontId="10" fillId="0" borderId="24" xfId="174" applyNumberFormat="1" applyFont="1" applyFill="1" applyBorder="1"/>
    <xf numFmtId="6" fontId="13" fillId="0" borderId="24" xfId="174" applyNumberFormat="1" applyFont="1" applyFill="1" applyBorder="1"/>
    <xf numFmtId="0" fontId="15" fillId="0" borderId="0" xfId="174" applyFont="1" applyFill="1"/>
    <xf numFmtId="0" fontId="6" fillId="0" borderId="0" xfId="172" applyFont="1" applyFill="1"/>
    <xf numFmtId="0" fontId="12" fillId="0" borderId="0" xfId="174" applyFont="1" applyFill="1"/>
    <xf numFmtId="173" fontId="16" fillId="0" borderId="0" xfId="105" applyNumberFormat="1" applyFont="1" applyFill="1"/>
    <xf numFmtId="6" fontId="10" fillId="0" borderId="0" xfId="174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0" fontId="10" fillId="0" borderId="0" xfId="174" quotePrefix="1" applyFont="1" applyFill="1" applyAlignment="1">
      <alignment horizontal="left"/>
    </xf>
    <xf numFmtId="3" fontId="14" fillId="0" borderId="0" xfId="174" applyNumberFormat="1" applyFont="1" applyFill="1"/>
    <xf numFmtId="0" fontId="10" fillId="0" borderId="0" xfId="174" applyFont="1" applyFill="1" applyAlignment="1">
      <alignment horizontal="right"/>
    </xf>
    <xf numFmtId="177" fontId="14" fillId="0" borderId="0" xfId="112" applyNumberFormat="1" applyFont="1" applyFill="1" applyAlignment="1">
      <alignment horizontal="right"/>
    </xf>
    <xf numFmtId="174" fontId="47" fillId="0" borderId="0" xfId="171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2" fillId="0" borderId="0" xfId="0" applyFont="1" applyFill="1" applyAlignment="1"/>
    <xf numFmtId="0" fontId="18" fillId="0" borderId="0" xfId="170" applyFont="1" applyFill="1" applyAlignment="1">
      <alignment horizontal="left"/>
    </xf>
    <xf numFmtId="172" fontId="14" fillId="0" borderId="0" xfId="0" applyFont="1" applyFill="1" applyAlignment="1"/>
    <xf numFmtId="0" fontId="18" fillId="0" borderId="0" xfId="170" applyFont="1" applyFill="1"/>
    <xf numFmtId="16" fontId="18" fillId="0" borderId="0" xfId="170" applyNumberFormat="1" applyFont="1" applyFill="1" applyAlignment="1">
      <alignment horizontal="center"/>
    </xf>
    <xf numFmtId="172" fontId="6" fillId="0" borderId="0" xfId="0" applyFont="1" applyFill="1" applyAlignment="1"/>
    <xf numFmtId="0" fontId="6" fillId="0" borderId="0" xfId="170" applyFont="1" applyFill="1" applyAlignment="1">
      <alignment horizontal="left"/>
    </xf>
    <xf numFmtId="0" fontId="6" fillId="0" borderId="3" xfId="171" applyFont="1" applyFill="1" applyBorder="1" applyAlignment="1">
      <alignment horizontal="center" wrapText="1"/>
    </xf>
    <xf numFmtId="43" fontId="6" fillId="0" borderId="0" xfId="171" applyNumberFormat="1" applyFont="1" applyFill="1"/>
    <xf numFmtId="173" fontId="6" fillId="0" borderId="0" xfId="171" applyNumberFormat="1" applyFont="1" applyFill="1"/>
    <xf numFmtId="173" fontId="6" fillId="0" borderId="3" xfId="171" applyNumberFormat="1" applyFont="1" applyFill="1" applyBorder="1"/>
    <xf numFmtId="43" fontId="6" fillId="0" borderId="3" xfId="171" applyNumberFormat="1" applyFont="1" applyFill="1" applyBorder="1"/>
    <xf numFmtId="1" fontId="6" fillId="0" borderId="0" xfId="169" applyNumberFormat="1" applyFill="1" applyBorder="1" applyAlignment="1">
      <alignment horizontal="center"/>
    </xf>
    <xf numFmtId="43" fontId="14" fillId="0" borderId="0" xfId="105" applyFont="1" applyFill="1" applyAlignment="1"/>
    <xf numFmtId="3" fontId="46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72" fontId="0" fillId="0" borderId="0" xfId="0" applyFill="1" applyAlignment="1"/>
    <xf numFmtId="1" fontId="6" fillId="0" borderId="19" xfId="169" applyNumberFormat="1" applyFill="1" applyBorder="1" applyAlignment="1">
      <alignment horizontal="center"/>
    </xf>
    <xf numFmtId="1" fontId="6" fillId="0" borderId="21" xfId="169" applyNumberFormat="1" applyFill="1" applyBorder="1" applyAlignment="1">
      <alignment horizontal="center"/>
    </xf>
    <xf numFmtId="1" fontId="6" fillId="0" borderId="22" xfId="169" applyNumberFormat="1" applyFill="1" applyBorder="1" applyAlignment="1">
      <alignment horizontal="center"/>
    </xf>
    <xf numFmtId="0" fontId="6" fillId="0" borderId="19" xfId="169" applyFill="1" applyBorder="1"/>
    <xf numFmtId="0" fontId="6" fillId="0" borderId="0" xfId="172" applyFill="1" applyAlignment="1">
      <alignment horizontal="center"/>
    </xf>
    <xf numFmtId="172" fontId="6" fillId="0" borderId="0" xfId="0" applyFont="1" applyFill="1" applyAlignment="1">
      <alignment horizontal="right"/>
    </xf>
    <xf numFmtId="0" fontId="6" fillId="0" borderId="0" xfId="170" applyFont="1" applyFill="1" applyAlignment="1">
      <alignment horizontal="center"/>
    </xf>
    <xf numFmtId="3" fontId="10" fillId="0" borderId="0" xfId="174" applyNumberFormat="1" applyFont="1" applyFill="1"/>
    <xf numFmtId="10" fontId="6" fillId="0" borderId="0" xfId="180" applyNumberForma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/>
    <xf numFmtId="10" fontId="3" fillId="0" borderId="0" xfId="180" applyNumberFormat="1" applyFont="1" applyFill="1" applyAlignment="1"/>
    <xf numFmtId="0" fontId="14" fillId="0" borderId="0" xfId="171" applyFont="1" applyFill="1"/>
    <xf numFmtId="176" fontId="6" fillId="0" borderId="0" xfId="171" applyNumberFormat="1" applyFill="1"/>
    <xf numFmtId="3" fontId="97" fillId="0" borderId="0" xfId="0" applyNumberFormat="1" applyFont="1" applyFill="1" applyAlignment="1">
      <alignment horizontal="center"/>
    </xf>
    <xf numFmtId="172" fontId="1" fillId="0" borderId="0" xfId="0" applyFont="1" applyFill="1" applyAlignment="1"/>
    <xf numFmtId="0" fontId="3" fillId="0" borderId="0" xfId="105" applyNumberFormat="1" applyFont="1" applyFill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0" fontId="0" fillId="0" borderId="0" xfId="0" applyNumberFormat="1" applyFill="1"/>
    <xf numFmtId="1" fontId="6" fillId="0" borderId="25" xfId="169" applyNumberFormat="1" applyFill="1" applyBorder="1" applyAlignment="1">
      <alignment horizontal="center"/>
    </xf>
    <xf numFmtId="173" fontId="1" fillId="0" borderId="0" xfId="105" applyNumberFormat="1" applyFont="1" applyFill="1" applyAlignment="1"/>
    <xf numFmtId="173" fontId="0" fillId="0" borderId="0" xfId="105" applyNumberFormat="1" applyFont="1" applyFill="1" applyAlignment="1"/>
    <xf numFmtId="44" fontId="0" fillId="0" borderId="0" xfId="112" applyFont="1" applyFill="1"/>
    <xf numFmtId="0" fontId="6" fillId="0" borderId="0" xfId="171" applyFill="1" applyAlignment="1">
      <alignment horizontal="center"/>
    </xf>
    <xf numFmtId="0" fontId="6" fillId="0" borderId="0" xfId="171" applyFill="1" applyAlignment="1">
      <alignment horizontal="right"/>
    </xf>
    <xf numFmtId="0" fontId="14" fillId="0" borderId="0" xfId="171" applyFont="1" applyFill="1" applyAlignment="1">
      <alignment horizontal="center"/>
    </xf>
    <xf numFmtId="174" fontId="6" fillId="0" borderId="0" xfId="112" applyNumberFormat="1" applyFont="1" applyFill="1"/>
    <xf numFmtId="0" fontId="6" fillId="0" borderId="3" xfId="171" applyFill="1" applyBorder="1" applyAlignment="1">
      <alignment horizontal="center"/>
    </xf>
    <xf numFmtId="0" fontId="6" fillId="0" borderId="3" xfId="171" applyFill="1" applyBorder="1"/>
    <xf numFmtId="0" fontId="6" fillId="0" borderId="3" xfId="171" applyFont="1" applyFill="1" applyBorder="1" applyAlignment="1">
      <alignment horizontal="center"/>
    </xf>
    <xf numFmtId="0" fontId="6" fillId="0" borderId="0" xfId="171" applyFill="1" applyAlignment="1">
      <alignment horizontal="center" wrapText="1"/>
    </xf>
    <xf numFmtId="0" fontId="6" fillId="0" borderId="0" xfId="171" applyFont="1" applyFill="1" applyAlignment="1">
      <alignment horizontal="center"/>
    </xf>
    <xf numFmtId="0" fontId="6" fillId="0" borderId="0" xfId="171" applyFont="1" applyFill="1" applyAlignment="1">
      <alignment horizontal="center" wrapText="1"/>
    </xf>
    <xf numFmtId="44" fontId="6" fillId="0" borderId="0" xfId="112" applyNumberFormat="1" applyFill="1"/>
    <xf numFmtId="170" fontId="6" fillId="0" borderId="0" xfId="180" applyNumberFormat="1" applyFont="1" applyFill="1" applyAlignment="1">
      <alignment horizontal="right"/>
    </xf>
    <xf numFmtId="3" fontId="6" fillId="0" borderId="0" xfId="171" applyNumberFormat="1" applyFill="1"/>
    <xf numFmtId="9" fontId="6" fillId="0" borderId="0" xfId="180" applyFill="1"/>
    <xf numFmtId="44" fontId="6" fillId="0" borderId="0" xfId="171" applyNumberFormat="1" applyFill="1"/>
    <xf numFmtId="41" fontId="6" fillId="0" borderId="0" xfId="171" applyNumberFormat="1" applyFill="1"/>
    <xf numFmtId="0" fontId="6" fillId="0" borderId="3" xfId="171" applyFont="1" applyFill="1" applyBorder="1"/>
    <xf numFmtId="44" fontId="6" fillId="0" borderId="3" xfId="171" applyNumberFormat="1" applyFont="1" applyFill="1" applyBorder="1"/>
    <xf numFmtId="170" fontId="6" fillId="0" borderId="3" xfId="180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80" applyFont="1" applyFill="1" applyAlignment="1">
      <alignment horizontal="right"/>
    </xf>
    <xf numFmtId="174" fontId="6" fillId="0" borderId="0" xfId="171" applyNumberFormat="1" applyFont="1" applyFill="1"/>
    <xf numFmtId="0" fontId="6" fillId="0" borderId="3" xfId="171" applyFill="1" applyBorder="1" applyAlignment="1">
      <alignment horizontal="center" wrapText="1"/>
    </xf>
    <xf numFmtId="0" fontId="6" fillId="0" borderId="26" xfId="171" applyFill="1" applyBorder="1"/>
    <xf numFmtId="0" fontId="6" fillId="0" borderId="6" xfId="171" applyFill="1" applyBorder="1"/>
    <xf numFmtId="0" fontId="6" fillId="0" borderId="27" xfId="171" applyFill="1" applyBorder="1"/>
    <xf numFmtId="174" fontId="6" fillId="0" borderId="0" xfId="171" applyNumberFormat="1" applyFill="1"/>
    <xf numFmtId="175" fontId="17" fillId="0" borderId="0" xfId="171" applyNumberFormat="1" applyFont="1" applyFill="1"/>
    <xf numFmtId="0" fontId="6" fillId="0" borderId="28" xfId="171" applyFill="1" applyBorder="1"/>
    <xf numFmtId="0" fontId="6" fillId="0" borderId="0" xfId="171" applyFill="1" applyBorder="1"/>
    <xf numFmtId="0" fontId="6" fillId="0" borderId="29" xfId="171" applyFill="1" applyBorder="1"/>
    <xf numFmtId="42" fontId="6" fillId="0" borderId="0" xfId="171" applyNumberFormat="1" applyFill="1"/>
    <xf numFmtId="42" fontId="6" fillId="0" borderId="3" xfId="171" applyNumberFormat="1" applyFill="1" applyBorder="1"/>
    <xf numFmtId="174" fontId="6" fillId="0" borderId="3" xfId="171" applyNumberFormat="1" applyFill="1" applyBorder="1"/>
    <xf numFmtId="0" fontId="6" fillId="0" borderId="30" xfId="171" applyFill="1" applyBorder="1"/>
    <xf numFmtId="0" fontId="6" fillId="0" borderId="4" xfId="171" applyFill="1" applyBorder="1"/>
    <xf numFmtId="0" fontId="6" fillId="0" borderId="31" xfId="171" applyFill="1" applyBorder="1"/>
    <xf numFmtId="43" fontId="6" fillId="0" borderId="0" xfId="171" applyNumberFormat="1" applyFill="1"/>
    <xf numFmtId="173" fontId="6" fillId="0" borderId="0" xfId="171" applyNumberFormat="1" applyFill="1"/>
    <xf numFmtId="44" fontId="6" fillId="0" borderId="0" xfId="112" applyFill="1"/>
    <xf numFmtId="0" fontId="6" fillId="0" borderId="0" xfId="171" quotePrefix="1" applyFill="1"/>
    <xf numFmtId="179" fontId="6" fillId="0" borderId="0" xfId="112" applyNumberFormat="1" applyFill="1"/>
    <xf numFmtId="180" fontId="6" fillId="0" borderId="0" xfId="112" applyNumberFormat="1" applyFill="1"/>
    <xf numFmtId="0" fontId="6" fillId="0" borderId="0" xfId="174" applyFont="1" applyFill="1"/>
    <xf numFmtId="0" fontId="13" fillId="0" borderId="0" xfId="174" applyFont="1" applyFill="1" applyAlignment="1">
      <alignment horizontal="right"/>
    </xf>
    <xf numFmtId="0" fontId="14" fillId="0" borderId="0" xfId="174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10" fillId="0" borderId="0" xfId="174" applyFont="1" applyFill="1" applyBorder="1" applyAlignment="1">
      <alignment horizontal="center"/>
    </xf>
    <xf numFmtId="0" fontId="10" fillId="0" borderId="4" xfId="174" applyFont="1" applyFill="1" applyBorder="1" applyAlignment="1">
      <alignment horizontal="center"/>
    </xf>
    <xf numFmtId="0" fontId="8" fillId="0" borderId="0" xfId="174" applyFont="1" applyFill="1"/>
    <xf numFmtId="0" fontId="8" fillId="0" borderId="0" xfId="174" applyFont="1" applyFill="1" applyAlignment="1">
      <alignment horizontal="left"/>
    </xf>
    <xf numFmtId="0" fontId="5" fillId="0" borderId="0" xfId="174" applyFont="1" applyFill="1"/>
    <xf numFmtId="0" fontId="9" fillId="0" borderId="0" xfId="174" applyFont="1" applyFill="1"/>
    <xf numFmtId="0" fontId="11" fillId="0" borderId="0" xfId="174" applyFont="1" applyFill="1" applyAlignment="1">
      <alignment horizontal="center"/>
    </xf>
    <xf numFmtId="0" fontId="11" fillId="0" borderId="0" xfId="174" applyFont="1" applyFill="1"/>
    <xf numFmtId="0" fontId="10" fillId="0" borderId="0" xfId="173" applyFont="1" applyFill="1"/>
    <xf numFmtId="0" fontId="14" fillId="0" borderId="0" xfId="171" applyFont="1" applyFill="1" applyAlignment="1">
      <alignment horizontal="right"/>
    </xf>
    <xf numFmtId="172" fontId="18" fillId="0" borderId="0" xfId="0" applyFont="1" applyFill="1" applyAlignment="1">
      <alignment horizontal="center"/>
    </xf>
    <xf numFmtId="172" fontId="18" fillId="0" borderId="4" xfId="0" applyFont="1" applyFill="1" applyBorder="1" applyAlignment="1">
      <alignment horizontal="center"/>
    </xf>
    <xf numFmtId="0" fontId="6" fillId="0" borderId="32" xfId="169" applyFill="1" applyBorder="1" applyAlignment="1">
      <alignment horizontal="center"/>
    </xf>
    <xf numFmtId="0" fontId="6" fillId="0" borderId="33" xfId="169" applyFill="1" applyBorder="1" applyAlignment="1">
      <alignment horizontal="center"/>
    </xf>
    <xf numFmtId="0" fontId="6" fillId="0" borderId="34" xfId="169" applyFill="1" applyBorder="1" applyAlignment="1">
      <alignment horizontal="center"/>
    </xf>
    <xf numFmtId="0" fontId="6" fillId="0" borderId="33" xfId="169" applyFill="1" applyBorder="1"/>
    <xf numFmtId="0" fontId="6" fillId="0" borderId="25" xfId="169" applyFont="1" applyFill="1" applyBorder="1"/>
    <xf numFmtId="0" fontId="6" fillId="0" borderId="9" xfId="169" applyFill="1" applyBorder="1"/>
    <xf numFmtId="1" fontId="6" fillId="0" borderId="35" xfId="169" applyNumberFormat="1" applyFill="1" applyBorder="1" applyAlignment="1">
      <alignment horizontal="center"/>
    </xf>
    <xf numFmtId="1" fontId="6" fillId="0" borderId="9" xfId="169" applyNumberFormat="1" applyFill="1" applyBorder="1" applyAlignment="1">
      <alignment horizontal="center"/>
    </xf>
    <xf numFmtId="0" fontId="6" fillId="0" borderId="0" xfId="169" applyFont="1" applyFill="1"/>
    <xf numFmtId="10" fontId="6" fillId="0" borderId="0" xfId="169" applyNumberFormat="1" applyFill="1"/>
    <xf numFmtId="43" fontId="6" fillId="0" borderId="0" xfId="105" applyFill="1"/>
    <xf numFmtId="10" fontId="6" fillId="0" borderId="0" xfId="169" applyNumberFormat="1" applyFill="1" applyBorder="1" applyAlignment="1">
      <alignment horizontal="center"/>
    </xf>
    <xf numFmtId="0" fontId="6" fillId="0" borderId="0" xfId="169" applyFill="1" applyAlignment="1"/>
    <xf numFmtId="172" fontId="3" fillId="0" borderId="0" xfId="0" applyFont="1" applyFill="1" applyAlignment="1">
      <alignment horizontal="right"/>
    </xf>
    <xf numFmtId="172" fontId="1" fillId="0" borderId="0" xfId="0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172" fontId="22" fillId="0" borderId="0" xfId="0" applyFont="1" applyFill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0" fontId="3" fillId="0" borderId="0" xfId="0" applyNumberFormat="1" applyFont="1" applyFill="1" applyAlignment="1">
      <alignment horizontal="fill"/>
    </xf>
    <xf numFmtId="44" fontId="6" fillId="0" borderId="0" xfId="172" applyNumberFormat="1" applyFill="1"/>
    <xf numFmtId="0" fontId="6" fillId="0" borderId="0" xfId="172" applyFont="1" applyFill="1" applyAlignment="1">
      <alignment horizontal="center"/>
    </xf>
    <xf numFmtId="44" fontId="6" fillId="0" borderId="0" xfId="172" applyNumberFormat="1" applyFill="1" applyAlignment="1">
      <alignment horizontal="center"/>
    </xf>
    <xf numFmtId="0" fontId="6" fillId="0" borderId="4" xfId="172" applyFont="1" applyFill="1" applyBorder="1" applyAlignment="1">
      <alignment horizontal="center"/>
    </xf>
    <xf numFmtId="0" fontId="6" fillId="0" borderId="4" xfId="172" applyFont="1" applyFill="1" applyBorder="1"/>
    <xf numFmtId="44" fontId="6" fillId="0" borderId="4" xfId="172" applyNumberFormat="1" applyFont="1" applyFill="1" applyBorder="1" applyAlignment="1">
      <alignment horizontal="center"/>
    </xf>
    <xf numFmtId="0" fontId="14" fillId="0" borderId="0" xfId="172" applyFont="1" applyFill="1"/>
    <xf numFmtId="10" fontId="6" fillId="0" borderId="0" xfId="172" applyNumberFormat="1" applyFont="1" applyFill="1"/>
    <xf numFmtId="0" fontId="6" fillId="0" borderId="0" xfId="172" applyFont="1" applyFill="1" applyAlignment="1">
      <alignment horizontal="right"/>
    </xf>
    <xf numFmtId="202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173" fontId="18" fillId="0" borderId="0" xfId="105" applyNumberFormat="1" applyFont="1" applyFill="1" applyAlignment="1"/>
    <xf numFmtId="172" fontId="12" fillId="0" borderId="0" xfId="0" applyFont="1" applyFill="1" applyAlignment="1"/>
    <xf numFmtId="43" fontId="14" fillId="0" borderId="0" xfId="105" applyNumberFormat="1" applyFont="1" applyFill="1" applyAlignment="1"/>
    <xf numFmtId="7" fontId="14" fillId="0" borderId="6" xfId="0" applyNumberFormat="1" applyFont="1" applyFill="1" applyBorder="1" applyAlignment="1"/>
    <xf numFmtId="172" fontId="16" fillId="0" borderId="0" xfId="0" applyFont="1" applyFill="1" applyAlignment="1"/>
    <xf numFmtId="172" fontId="16" fillId="0" borderId="4" xfId="0" applyFont="1" applyFill="1" applyBorder="1" applyAlignment="1">
      <alignment horizontal="center"/>
    </xf>
    <xf numFmtId="172" fontId="16" fillId="0" borderId="0" xfId="0" applyFont="1" applyFill="1" applyBorder="1" applyAlignment="1"/>
    <xf numFmtId="182" fontId="18" fillId="0" borderId="0" xfId="180" applyNumberFormat="1" applyFont="1" applyFill="1" applyAlignment="1"/>
    <xf numFmtId="182" fontId="18" fillId="0" borderId="6" xfId="180" applyNumberFormat="1" applyFont="1" applyFill="1" applyBorder="1" applyAlignment="1"/>
    <xf numFmtId="172" fontId="0" fillId="0" borderId="0" xfId="0" applyFill="1" applyAlignment="1">
      <alignment horizontal="right"/>
    </xf>
    <xf numFmtId="202" fontId="0" fillId="0" borderId="0" xfId="0" applyNumberFormat="1" applyFill="1" applyAlignment="1">
      <alignment horizontal="right"/>
    </xf>
    <xf numFmtId="172" fontId="2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165" fontId="3" fillId="0" borderId="0" xfId="0" applyNumberFormat="1" applyFont="1" applyFill="1" applyAlignment="1"/>
    <xf numFmtId="183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73" fontId="3" fillId="0" borderId="3" xfId="105" applyNumberFormat="1" applyFont="1" applyFill="1" applyBorder="1" applyAlignment="1"/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36" xfId="0" applyNumberFormat="1" applyFont="1" applyFill="1" applyBorder="1" applyAlignment="1"/>
    <xf numFmtId="202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3" fontId="2" fillId="0" borderId="0" xfId="105" applyNumberFormat="1" applyFont="1" applyFill="1" applyAlignment="1"/>
    <xf numFmtId="171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3" fontId="3" fillId="0" borderId="37" xfId="0" applyNumberFormat="1" applyFont="1" applyFill="1" applyBorder="1" applyAlignment="1"/>
    <xf numFmtId="202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/>
    <xf numFmtId="3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83" fontId="3" fillId="0" borderId="0" xfId="0" applyNumberFormat="1" applyFont="1" applyFill="1" applyAlignment="1">
      <alignment horizontal="right"/>
    </xf>
    <xf numFmtId="172" fontId="3" fillId="0" borderId="6" xfId="0" applyFont="1" applyFill="1" applyBorder="1" applyAlignment="1"/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0" fontId="3" fillId="0" borderId="6" xfId="0" applyNumberFormat="1" applyFont="1" applyFill="1" applyBorder="1" applyProtection="1">
      <protection locked="0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Alignment="1"/>
    <xf numFmtId="6" fontId="3" fillId="0" borderId="0" xfId="174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9" fontId="3" fillId="0" borderId="0" xfId="180" applyFont="1" applyFill="1" applyAlignment="1"/>
    <xf numFmtId="10" fontId="3" fillId="0" borderId="0" xfId="18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80" applyFont="1" applyFill="1" applyBorder="1" applyAlignment="1"/>
    <xf numFmtId="10" fontId="3" fillId="0" borderId="0" xfId="180" applyNumberFormat="1" applyFont="1" applyFill="1"/>
    <xf numFmtId="0" fontId="43" fillId="0" borderId="0" xfId="0" applyNumberFormat="1" applyFont="1" applyFill="1"/>
    <xf numFmtId="0" fontId="3" fillId="0" borderId="4" xfId="0" applyNumberFormat="1" applyFont="1" applyFill="1" applyBorder="1" applyAlignment="1"/>
    <xf numFmtId="172" fontId="43" fillId="0" borderId="0" xfId="0" applyFont="1" applyFill="1" applyAlignment="1"/>
    <xf numFmtId="0" fontId="3" fillId="0" borderId="0" xfId="0" quotePrefix="1" applyNumberFormat="1" applyFont="1" applyFill="1"/>
    <xf numFmtId="49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/>
    <xf numFmtId="3" fontId="3" fillId="0" borderId="0" xfId="0" quotePrefix="1" applyNumberFormat="1" applyFont="1" applyFill="1" applyAlignment="1"/>
    <xf numFmtId="10" fontId="3" fillId="0" borderId="3" xfId="180" applyNumberFormat="1" applyFont="1" applyFill="1" applyBorder="1" applyAlignment="1"/>
    <xf numFmtId="202" fontId="3" fillId="0" borderId="0" xfId="180" applyNumberFormat="1" applyFont="1" applyFill="1" applyAlignment="1">
      <alignment horizontal="right"/>
    </xf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43" fontId="3" fillId="0" borderId="0" xfId="105" applyFont="1" applyFill="1" applyProtection="1">
      <protection locked="0"/>
    </xf>
    <xf numFmtId="178" fontId="0" fillId="0" borderId="0" xfId="105" applyNumberFormat="1" applyFont="1" applyFill="1" applyAlignment="1"/>
    <xf numFmtId="178" fontId="2" fillId="0" borderId="0" xfId="105" applyNumberFormat="1" applyFont="1" applyFill="1" applyAlignment="1"/>
    <xf numFmtId="43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2" fontId="0" fillId="0" borderId="26" xfId="0" applyBorder="1" applyAlignment="1">
      <alignment horizontal="center"/>
    </xf>
    <xf numFmtId="0" fontId="6" fillId="0" borderId="30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7" fontId="0" fillId="0" borderId="28" xfId="0" applyNumberFormat="1" applyBorder="1"/>
    <xf numFmtId="17" fontId="0" fillId="0" borderId="0" xfId="0" applyNumberFormat="1" applyBorder="1"/>
    <xf numFmtId="44" fontId="10" fillId="0" borderId="0" xfId="112" applyFont="1" applyFill="1"/>
    <xf numFmtId="3" fontId="3" fillId="0" borderId="0" xfId="163" applyNumberFormat="1" applyFont="1" applyFill="1" applyAlignment="1"/>
    <xf numFmtId="173" fontId="3" fillId="0" borderId="4" xfId="105" applyNumberFormat="1" applyFont="1" applyFill="1" applyBorder="1" applyAlignment="1"/>
    <xf numFmtId="174" fontId="98" fillId="0" borderId="0" xfId="112" applyNumberFormat="1" applyFont="1" applyFill="1" applyAlignment="1"/>
    <xf numFmtId="174" fontId="0" fillId="0" borderId="0" xfId="0" applyNumberFormat="1" applyFill="1" applyAlignment="1"/>
    <xf numFmtId="174" fontId="98" fillId="0" borderId="0" xfId="112" applyNumberFormat="1" applyFont="1" applyFill="1" applyAlignment="1">
      <alignment horizontal="center"/>
    </xf>
    <xf numFmtId="174" fontId="98" fillId="0" borderId="0" xfId="112" applyNumberFormat="1" applyFont="1" applyFill="1" applyBorder="1" applyAlignment="1"/>
    <xf numFmtId="174" fontId="1" fillId="0" borderId="0" xfId="0" applyNumberFormat="1" applyFont="1" applyFill="1" applyAlignment="1"/>
    <xf numFmtId="174" fontId="3" fillId="0" borderId="0" xfId="112" applyNumberFormat="1" applyFont="1" applyFill="1" applyAlignment="1"/>
    <xf numFmtId="174" fontId="3" fillId="0" borderId="0" xfId="112" applyNumberFormat="1" applyFont="1" applyFill="1" applyAlignment="1">
      <alignment horizontal="center"/>
    </xf>
    <xf numFmtId="22" fontId="99" fillId="0" borderId="0" xfId="0" applyNumberFormat="1" applyFont="1" applyFill="1"/>
    <xf numFmtId="172" fontId="99" fillId="0" borderId="0" xfId="0" applyFont="1" applyFill="1"/>
    <xf numFmtId="172" fontId="99" fillId="0" borderId="44" xfId="0" applyFont="1" applyFill="1" applyBorder="1"/>
    <xf numFmtId="0" fontId="100" fillId="0" borderId="33" xfId="160" applyFont="1" applyFill="1" applyBorder="1"/>
    <xf numFmtId="0" fontId="43" fillId="0" borderId="0" xfId="160" applyFont="1" applyFill="1" applyAlignment="1">
      <alignment horizontal="center"/>
    </xf>
    <xf numFmtId="0" fontId="43" fillId="0" borderId="0" xfId="160" applyFont="1" applyFill="1"/>
    <xf numFmtId="0" fontId="100" fillId="0" borderId="0" xfId="160" applyFont="1" applyFill="1"/>
    <xf numFmtId="0" fontId="100" fillId="0" borderId="38" xfId="160" applyFont="1" applyFill="1" applyBorder="1"/>
    <xf numFmtId="0" fontId="43" fillId="0" borderId="33" xfId="160" applyFont="1" applyFill="1" applyBorder="1"/>
    <xf numFmtId="0" fontId="43" fillId="0" borderId="38" xfId="160" applyFont="1" applyFill="1" applyBorder="1" applyAlignment="1">
      <alignment horizontal="center" wrapText="1"/>
    </xf>
    <xf numFmtId="0" fontId="101" fillId="0" borderId="0" xfId="160" applyFont="1" applyFill="1" applyAlignment="1">
      <alignment horizontal="center" wrapText="1"/>
    </xf>
    <xf numFmtId="0" fontId="100" fillId="0" borderId="0" xfId="160" applyFont="1" applyFill="1" applyAlignment="1">
      <alignment horizontal="right"/>
    </xf>
    <xf numFmtId="174" fontId="100" fillId="0" borderId="33" xfId="114" applyNumberFormat="1" applyFont="1" applyFill="1" applyBorder="1"/>
    <xf numFmtId="174" fontId="100" fillId="0" borderId="0" xfId="160" applyNumberFormat="1" applyFont="1" applyFill="1"/>
    <xf numFmtId="174" fontId="100" fillId="0" borderId="0" xfId="114" applyNumberFormat="1" applyFont="1" applyFill="1"/>
    <xf numFmtId="174" fontId="100" fillId="0" borderId="38" xfId="160" applyNumberFormat="1" applyFont="1" applyFill="1" applyBorder="1"/>
    <xf numFmtId="172" fontId="100" fillId="0" borderId="0" xfId="0" applyFont="1" applyFill="1"/>
    <xf numFmtId="172" fontId="102" fillId="0" borderId="25" xfId="0" applyFont="1" applyFill="1" applyBorder="1" applyAlignment="1">
      <alignment horizontal="center" wrapText="1"/>
    </xf>
    <xf numFmtId="172" fontId="102" fillId="0" borderId="9" xfId="0" applyFont="1" applyFill="1" applyBorder="1" applyAlignment="1">
      <alignment horizontal="center" wrapText="1"/>
    </xf>
    <xf numFmtId="184" fontId="43" fillId="0" borderId="4" xfId="159" applyNumberFormat="1" applyFont="1" applyFill="1" applyBorder="1" applyAlignment="1">
      <alignment horizontal="center"/>
    </xf>
    <xf numFmtId="43" fontId="100" fillId="0" borderId="4" xfId="0" applyNumberFormat="1" applyFont="1" applyFill="1" applyBorder="1"/>
    <xf numFmtId="173" fontId="43" fillId="0" borderId="0" xfId="107" applyNumberFormat="1" applyFont="1" applyFill="1"/>
    <xf numFmtId="207" fontId="100" fillId="0" borderId="0" xfId="0" applyNumberFormat="1" applyFont="1" applyFill="1"/>
    <xf numFmtId="43" fontId="100" fillId="0" borderId="0" xfId="108" applyFont="1" applyFill="1"/>
    <xf numFmtId="173" fontId="43" fillId="0" borderId="4" xfId="107" applyNumberFormat="1" applyFont="1" applyFill="1" applyBorder="1"/>
    <xf numFmtId="173" fontId="100" fillId="0" borderId="0" xfId="0" applyNumberFormat="1" applyFont="1" applyFill="1"/>
    <xf numFmtId="43" fontId="100" fillId="0" borderId="0" xfId="0" applyNumberFormat="1" applyFont="1" applyFill="1"/>
    <xf numFmtId="172" fontId="102" fillId="0" borderId="0" xfId="0" applyFont="1" applyFill="1"/>
    <xf numFmtId="0" fontId="43" fillId="0" borderId="39" xfId="165" applyFont="1" applyFill="1" applyBorder="1"/>
    <xf numFmtId="43" fontId="43" fillId="0" borderId="0" xfId="165" applyNumberFormat="1" applyFont="1" applyFill="1"/>
    <xf numFmtId="208" fontId="100" fillId="0" borderId="0" xfId="108" applyNumberFormat="1" applyFont="1" applyFill="1"/>
    <xf numFmtId="0" fontId="6" fillId="0" borderId="40" xfId="169" applyFill="1" applyBorder="1" applyAlignment="1">
      <alignment horizontal="center"/>
    </xf>
    <xf numFmtId="0" fontId="6" fillId="0" borderId="38" xfId="169" applyFill="1" applyBorder="1" applyAlignment="1">
      <alignment horizontal="center"/>
    </xf>
    <xf numFmtId="0" fontId="6" fillId="0" borderId="41" xfId="169" applyFill="1" applyBorder="1" applyAlignment="1">
      <alignment horizontal="center"/>
    </xf>
    <xf numFmtId="1" fontId="6" fillId="0" borderId="32" xfId="169" applyNumberFormat="1" applyFill="1" applyBorder="1" applyAlignment="1">
      <alignment horizontal="center"/>
    </xf>
    <xf numFmtId="1" fontId="6" fillId="0" borderId="33" xfId="169" applyNumberFormat="1" applyFill="1" applyBorder="1" applyAlignment="1">
      <alignment horizontal="center"/>
    </xf>
    <xf numFmtId="1" fontId="6" fillId="0" borderId="34" xfId="169" applyNumberFormat="1" applyFill="1" applyBorder="1" applyAlignment="1">
      <alignment horizontal="center"/>
    </xf>
    <xf numFmtId="172" fontId="95" fillId="0" borderId="0" xfId="0" applyFont="1" applyFill="1" applyAlignment="1"/>
    <xf numFmtId="0" fontId="14" fillId="0" borderId="0" xfId="17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0" fontId="14" fillId="0" borderId="0" xfId="172" applyFont="1" applyFill="1" applyAlignment="1">
      <alignment horizontal="center"/>
    </xf>
    <xf numFmtId="0" fontId="94" fillId="0" borderId="32" xfId="160" applyFont="1" applyFill="1" applyBorder="1" applyAlignment="1">
      <alignment horizontal="center"/>
    </xf>
    <xf numFmtId="0" fontId="94" fillId="0" borderId="20" xfId="160" applyFont="1" applyFill="1" applyBorder="1" applyAlignment="1">
      <alignment horizontal="center"/>
    </xf>
    <xf numFmtId="0" fontId="94" fillId="0" borderId="40" xfId="160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172" fontId="0" fillId="0" borderId="0" xfId="0" applyFont="1" applyFill="1" applyAlignment="1">
      <alignment horizontal="center"/>
    </xf>
    <xf numFmtId="172" fontId="0" fillId="0" borderId="26" xfId="0" applyBorder="1" applyAlignment="1">
      <alignment horizontal="center"/>
    </xf>
    <xf numFmtId="172" fontId="0" fillId="0" borderId="6" xfId="0" applyBorder="1" applyAlignment="1">
      <alignment horizontal="center"/>
    </xf>
    <xf numFmtId="0" fontId="5" fillId="0" borderId="42" xfId="171" applyFont="1" applyFill="1" applyBorder="1" applyAlignment="1">
      <alignment horizontal="center"/>
    </xf>
    <xf numFmtId="0" fontId="5" fillId="0" borderId="10" xfId="171" applyFont="1" applyFill="1" applyBorder="1" applyAlignment="1">
      <alignment horizontal="center"/>
    </xf>
    <xf numFmtId="0" fontId="5" fillId="0" borderId="43" xfId="171" applyFont="1" applyFill="1" applyBorder="1" applyAlignment="1">
      <alignment horizontal="center"/>
    </xf>
    <xf numFmtId="0" fontId="14" fillId="0" borderId="0" xfId="174" applyFont="1" applyFill="1" applyAlignment="1">
      <alignment horizontal="center"/>
    </xf>
  </cellXfs>
  <cellStyles count="244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 5" xfId="110"/>
    <cellStyle name="Comma0 - Style1" xfId="111"/>
    <cellStyle name="Currency" xfId="112" builtinId="4"/>
    <cellStyle name="Currency 2" xfId="113"/>
    <cellStyle name="Currency 2 2" xfId="114"/>
    <cellStyle name="Currency 3" xfId="115"/>
    <cellStyle name="Date" xfId="116"/>
    <cellStyle name="Euro" xfId="117"/>
    <cellStyle name="Explanatory Text" xfId="118" builtinId="53" customBuiltin="1"/>
    <cellStyle name="Explanatory Text 2" xfId="119"/>
    <cellStyle name="Fixed" xfId="120"/>
    <cellStyle name="Fixed1 - Style1" xfId="121"/>
    <cellStyle name="Gilsans" xfId="122"/>
    <cellStyle name="Gilsansl" xfId="123"/>
    <cellStyle name="Good" xfId="124" builtinId="26" customBuiltin="1"/>
    <cellStyle name="Good 2" xfId="125"/>
    <cellStyle name="Grey" xfId="126"/>
    <cellStyle name="HEADER" xfId="127"/>
    <cellStyle name="Header1" xfId="128"/>
    <cellStyle name="Header2" xfId="129"/>
    <cellStyle name="Heading" xfId="130"/>
    <cellStyle name="Heading 1" xfId="131" builtinId="16" customBuiltin="1"/>
    <cellStyle name="Heading 1 2" xfId="132"/>
    <cellStyle name="Heading 2" xfId="133" builtinId="17" customBuiltin="1"/>
    <cellStyle name="Heading 2 2" xfId="134"/>
    <cellStyle name="Heading 3" xfId="135" builtinId="18" customBuiltin="1"/>
    <cellStyle name="Heading 3 2" xfId="136"/>
    <cellStyle name="Heading 4" xfId="137" builtinId="19" customBuiltin="1"/>
    <cellStyle name="Heading 4 2" xfId="138"/>
    <cellStyle name="Heading1" xfId="139"/>
    <cellStyle name="Heading2" xfId="140"/>
    <cellStyle name="HIGHLIGHT" xfId="141"/>
    <cellStyle name="Input" xfId="142" builtinId="20" customBuiltin="1"/>
    <cellStyle name="Input [yellow]" xfId="143"/>
    <cellStyle name="Input 2" xfId="144"/>
    <cellStyle name="Lines" xfId="145"/>
    <cellStyle name="Linked Cell" xfId="146" builtinId="24" customBuiltin="1"/>
    <cellStyle name="Linked Cell 2" xfId="147"/>
    <cellStyle name="MEM SSN" xfId="148"/>
    <cellStyle name="Mine" xfId="149"/>
    <cellStyle name="mmm-yy" xfId="150"/>
    <cellStyle name="Monétaire [0]_pldt" xfId="151"/>
    <cellStyle name="Monétaire_pldt" xfId="152"/>
    <cellStyle name="Neutral" xfId="153" builtinId="28" customBuiltin="1"/>
    <cellStyle name="Neutral 2" xfId="154"/>
    <cellStyle name="New" xfId="155"/>
    <cellStyle name="No Border" xfId="156"/>
    <cellStyle name="no dec" xfId="157"/>
    <cellStyle name="Normal" xfId="0" builtinId="0"/>
    <cellStyle name="Normal - Style1" xfId="158"/>
    <cellStyle name="Normal 2" xfId="159"/>
    <cellStyle name="Normal 2 2" xfId="160"/>
    <cellStyle name="Normal 3" xfId="161"/>
    <cellStyle name="Normal 3 2" xfId="162"/>
    <cellStyle name="Normal 3 5" xfId="163"/>
    <cellStyle name="Normal 4" xfId="164"/>
    <cellStyle name="Normal 4 2" xfId="165"/>
    <cellStyle name="Normal CEN" xfId="166"/>
    <cellStyle name="Normal Centered" xfId="167"/>
    <cellStyle name="NORMAL CTR" xfId="168"/>
    <cellStyle name="Normal_2002 AREA LOADS FOR JNT TARIFF" xfId="169"/>
    <cellStyle name="Normal_Capital True-up" xfId="170"/>
    <cellStyle name="Normal_CU AC Rate Design" xfId="171"/>
    <cellStyle name="Normal_PRECorp2002HeintzResponse 8-21-03" xfId="172"/>
    <cellStyle name="Normal_Sheet1" xfId="173"/>
    <cellStyle name="Normal_TopSheet Type Ancillaries Worksheet-Updated 81903" xfId="174"/>
    <cellStyle name="Note" xfId="175" builtinId="10" customBuiltin="1"/>
    <cellStyle name="Note 2" xfId="176"/>
    <cellStyle name="nUMBER" xfId="177"/>
    <cellStyle name="Output" xfId="178" builtinId="21" customBuiltin="1"/>
    <cellStyle name="Output 2" xfId="179"/>
    <cellStyle name="Percent" xfId="180" builtinId="5"/>
    <cellStyle name="Percent [2]" xfId="181"/>
    <cellStyle name="Percent 2" xfId="182"/>
    <cellStyle name="PSChar" xfId="183"/>
    <cellStyle name="PSDate" xfId="184"/>
    <cellStyle name="PSDec" xfId="185"/>
    <cellStyle name="PSHeading" xfId="186"/>
    <cellStyle name="PSInt" xfId="187"/>
    <cellStyle name="PSSpacer" xfId="188"/>
    <cellStyle name="R00A" xfId="189"/>
    <cellStyle name="R00B" xfId="190"/>
    <cellStyle name="R00L" xfId="191"/>
    <cellStyle name="R01A" xfId="192"/>
    <cellStyle name="R01B" xfId="193"/>
    <cellStyle name="R01H" xfId="194"/>
    <cellStyle name="R01L" xfId="195"/>
    <cellStyle name="R02A" xfId="196"/>
    <cellStyle name="R02B" xfId="197"/>
    <cellStyle name="R02H" xfId="198"/>
    <cellStyle name="R02L" xfId="199"/>
    <cellStyle name="R03A" xfId="200"/>
    <cellStyle name="R03B" xfId="201"/>
    <cellStyle name="R03H" xfId="202"/>
    <cellStyle name="R03L" xfId="203"/>
    <cellStyle name="R04A" xfId="204"/>
    <cellStyle name="R04B" xfId="205"/>
    <cellStyle name="R04H" xfId="206"/>
    <cellStyle name="R04L" xfId="207"/>
    <cellStyle name="R05A" xfId="208"/>
    <cellStyle name="R05B" xfId="209"/>
    <cellStyle name="R05H" xfId="210"/>
    <cellStyle name="R05L" xfId="211"/>
    <cellStyle name="R06A" xfId="212"/>
    <cellStyle name="R06B" xfId="213"/>
    <cellStyle name="R06H" xfId="214"/>
    <cellStyle name="R06L" xfId="215"/>
    <cellStyle name="R07A" xfId="216"/>
    <cellStyle name="R07B" xfId="217"/>
    <cellStyle name="R07H" xfId="218"/>
    <cellStyle name="R07L" xfId="219"/>
    <cellStyle name="Resource Detail" xfId="220"/>
    <cellStyle name="Shade" xfId="221"/>
    <cellStyle name="single acct" xfId="222"/>
    <cellStyle name="Single Border" xfId="223"/>
    <cellStyle name="Small Page Heading" xfId="224"/>
    <cellStyle name="ssn" xfId="225"/>
    <cellStyle name="Style 1" xfId="226"/>
    <cellStyle name="Style 2" xfId="227"/>
    <cellStyle name="Style 27" xfId="228"/>
    <cellStyle name="Style 28" xfId="229"/>
    <cellStyle name="Table Sub Heading" xfId="230"/>
    <cellStyle name="Table Title" xfId="231"/>
    <cellStyle name="Table Units" xfId="232"/>
    <cellStyle name="Theirs" xfId="233"/>
    <cellStyle name="Times New Roman" xfId="234"/>
    <cellStyle name="Title" xfId="235" builtinId="15" customBuiltin="1"/>
    <cellStyle name="Title 2" xfId="236"/>
    <cellStyle name="Total" xfId="237" builtinId="25" customBuiltin="1"/>
    <cellStyle name="Total 2" xfId="238"/>
    <cellStyle name="Unprot" xfId="239"/>
    <cellStyle name="Unprot$" xfId="240"/>
    <cellStyle name="Unprotect" xfId="241"/>
    <cellStyle name="Warning Text" xfId="242" builtinId="11" customBuiltin="1"/>
    <cellStyle name="Warning Text 2" xfId="2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6"/>
  <sheetViews>
    <sheetView tabSelected="1" zoomScaleNormal="100" workbookViewId="0">
      <selection activeCell="H8" sqref="H8"/>
    </sheetView>
  </sheetViews>
  <sheetFormatPr defaultColWidth="7.109375" defaultRowHeight="12.75"/>
  <cols>
    <col min="1" max="1" width="3.77734375" style="103" customWidth="1"/>
    <col min="2" max="2" width="7.109375" style="8" customWidth="1"/>
    <col min="3" max="3" width="6.88671875" style="8" customWidth="1"/>
    <col min="4" max="4" width="11.5546875" style="8" customWidth="1"/>
    <col min="5" max="5" width="11.5546875" style="8" bestFit="1" customWidth="1"/>
    <col min="6" max="6" width="12.109375" style="8" customWidth="1"/>
    <col min="7" max="7" width="8.77734375" style="8" bestFit="1" customWidth="1"/>
    <col min="8" max="8" width="9.5546875" style="8" bestFit="1" customWidth="1"/>
    <col min="9" max="9" width="7.109375" style="8" customWidth="1"/>
    <col min="10" max="10" width="8.77734375" style="8" bestFit="1" customWidth="1"/>
    <col min="11" max="11" width="7.109375" style="8" customWidth="1"/>
    <col min="12" max="12" width="11.44140625" style="8" customWidth="1"/>
    <col min="13" max="16384" width="7.109375" style="8"/>
  </cols>
  <sheetData>
    <row r="1" spans="1:11">
      <c r="H1" s="104" t="s">
        <v>450</v>
      </c>
    </row>
    <row r="2" spans="1:11">
      <c r="G2" s="7"/>
    </row>
    <row r="3" spans="1:11" ht="15" customHeight="1">
      <c r="A3" s="335" t="s">
        <v>360</v>
      </c>
      <c r="B3" s="335"/>
      <c r="C3" s="335"/>
      <c r="D3" s="335"/>
      <c r="E3" s="335"/>
      <c r="F3" s="335"/>
      <c r="G3" s="335"/>
      <c r="H3" s="335"/>
    </row>
    <row r="4" spans="1:11" ht="15" customHeight="1">
      <c r="A4" s="335" t="s">
        <v>77</v>
      </c>
      <c r="B4" s="335"/>
      <c r="C4" s="335"/>
      <c r="D4" s="335"/>
      <c r="E4" s="335"/>
      <c r="F4" s="335"/>
      <c r="G4" s="335"/>
      <c r="H4" s="335"/>
    </row>
    <row r="6" spans="1:11">
      <c r="A6" s="90" t="s">
        <v>70</v>
      </c>
    </row>
    <row r="8" spans="1:11">
      <c r="A8" s="103">
        <v>1</v>
      </c>
      <c r="B8" s="7" t="s">
        <v>114</v>
      </c>
      <c r="D8" s="7"/>
      <c r="G8" s="7"/>
      <c r="H8" s="106">
        <v>535372</v>
      </c>
      <c r="I8" s="7" t="s">
        <v>452</v>
      </c>
    </row>
    <row r="9" spans="1:11">
      <c r="G9" s="7"/>
      <c r="H9" s="7"/>
    </row>
    <row r="10" spans="1:11" ht="39" thickBot="1">
      <c r="D10" s="107" t="str">
        <f>+B20</f>
        <v>Entity</v>
      </c>
      <c r="E10" s="108"/>
      <c r="F10" s="65" t="s">
        <v>164</v>
      </c>
      <c r="G10" s="109" t="s">
        <v>254</v>
      </c>
      <c r="H10" s="65" t="s">
        <v>362</v>
      </c>
    </row>
    <row r="11" spans="1:11">
      <c r="D11" s="103"/>
      <c r="F11" s="110"/>
      <c r="G11" s="111"/>
      <c r="H11" s="112"/>
    </row>
    <row r="12" spans="1:11">
      <c r="A12" s="103">
        <v>2</v>
      </c>
      <c r="D12" s="8" t="s">
        <v>363</v>
      </c>
      <c r="F12" s="113">
        <f>+L22</f>
        <v>23.514352119310285</v>
      </c>
      <c r="G12" s="114">
        <f>+F12/F$15</f>
        <v>0.55160457106896432</v>
      </c>
      <c r="H12" s="106">
        <f>+H$8*G12</f>
        <v>295313.64242233359</v>
      </c>
      <c r="J12" s="115"/>
      <c r="K12" s="116"/>
    </row>
    <row r="13" spans="1:11">
      <c r="A13" s="103">
        <v>3</v>
      </c>
      <c r="D13" s="8" t="s">
        <v>364</v>
      </c>
      <c r="F13" s="117">
        <f>+L23</f>
        <v>16.933084914198826</v>
      </c>
      <c r="G13" s="114">
        <f>+F13/F$15</f>
        <v>0.39721983380952119</v>
      </c>
      <c r="H13" s="106">
        <f>+H$8*G13</f>
        <v>212660.37686627099</v>
      </c>
      <c r="J13" s="118"/>
      <c r="K13" s="116"/>
    </row>
    <row r="14" spans="1:11" ht="13.5" thickBot="1">
      <c r="A14" s="103">
        <v>4</v>
      </c>
      <c r="D14" s="119" t="s">
        <v>365</v>
      </c>
      <c r="E14" s="119"/>
      <c r="F14" s="120">
        <f>+L24</f>
        <v>2.1815645241491315</v>
      </c>
      <c r="G14" s="121">
        <f>+F14/F$15</f>
        <v>5.1175595121514553E-2</v>
      </c>
      <c r="H14" s="122">
        <f>+H$8*G14</f>
        <v>27397.980711395488</v>
      </c>
      <c r="J14" s="118"/>
      <c r="K14" s="116"/>
    </row>
    <row r="15" spans="1:11">
      <c r="A15" s="103">
        <v>5</v>
      </c>
      <c r="D15" s="8" t="s">
        <v>198</v>
      </c>
      <c r="F15" s="117">
        <f>SUM(F12:F14)</f>
        <v>42.629001557658242</v>
      </c>
      <c r="G15" s="123">
        <f>+F15/F$15</f>
        <v>1</v>
      </c>
      <c r="H15" s="124">
        <f>SUM(H12:H14)</f>
        <v>535372.00000000012</v>
      </c>
      <c r="J15" s="115"/>
    </row>
    <row r="16" spans="1:11">
      <c r="G16" s="7"/>
      <c r="H16" s="7"/>
    </row>
    <row r="17" spans="1:16">
      <c r="G17" s="7"/>
      <c r="H17" s="7"/>
    </row>
    <row r="18" spans="1:16">
      <c r="A18" s="90" t="s">
        <v>366</v>
      </c>
      <c r="E18" s="90" t="s">
        <v>447</v>
      </c>
      <c r="G18" s="7"/>
      <c r="H18" s="7"/>
    </row>
    <row r="19" spans="1:16">
      <c r="G19" s="7"/>
      <c r="H19" s="7"/>
    </row>
    <row r="20" spans="1:16" ht="39" thickBot="1">
      <c r="B20" s="108" t="s">
        <v>367</v>
      </c>
      <c r="C20" s="108"/>
      <c r="D20" s="125" t="s">
        <v>165</v>
      </c>
      <c r="E20" s="125" t="s">
        <v>167</v>
      </c>
      <c r="F20" s="125" t="s">
        <v>368</v>
      </c>
      <c r="G20" s="65" t="s">
        <v>451</v>
      </c>
      <c r="H20" s="65" t="s">
        <v>309</v>
      </c>
    </row>
    <row r="21" spans="1:16">
      <c r="G21" s="7"/>
      <c r="H21" s="7"/>
      <c r="M21" s="126" t="s">
        <v>392</v>
      </c>
      <c r="N21" s="127"/>
      <c r="O21" s="127"/>
      <c r="P21" s="128"/>
    </row>
    <row r="22" spans="1:16">
      <c r="A22" s="103">
        <v>6</v>
      </c>
      <c r="B22" s="8" t="str">
        <f>+D12</f>
        <v>Black Hills</v>
      </c>
      <c r="D22" s="55">
        <f>'True-Up'!J115</f>
        <v>24450678.594943836</v>
      </c>
      <c r="E22" s="129">
        <f>-H12</f>
        <v>-295313.64242233359</v>
      </c>
      <c r="F22" s="129">
        <f>+E22+D22</f>
        <v>24155364.952521503</v>
      </c>
      <c r="G22" s="6">
        <f>+'WP7 CU AC LOADS'!J24*1000</f>
        <v>952583.33333333337</v>
      </c>
      <c r="H22" s="66">
        <f>+F22/G22</f>
        <v>25.357744679403204</v>
      </c>
      <c r="J22" s="130" t="s">
        <v>119</v>
      </c>
      <c r="L22" s="91">
        <v>23.514352119310285</v>
      </c>
      <c r="M22" s="131" t="s">
        <v>393</v>
      </c>
      <c r="N22" s="132"/>
      <c r="O22" s="132"/>
      <c r="P22" s="133"/>
    </row>
    <row r="23" spans="1:16">
      <c r="A23" s="103">
        <v>7</v>
      </c>
      <c r="B23" s="8" t="str">
        <f>+D13</f>
        <v>Basin Electric</v>
      </c>
      <c r="D23" s="134">
        <v>16482130</v>
      </c>
      <c r="E23" s="129">
        <f>-H13</f>
        <v>-212660.37686627099</v>
      </c>
      <c r="F23" s="129">
        <f>+E23+D23</f>
        <v>16269469.623133728</v>
      </c>
      <c r="G23" s="67">
        <f>+G22</f>
        <v>952583.33333333337</v>
      </c>
      <c r="H23" s="66">
        <f>+F23/G23</f>
        <v>17.079313750118512</v>
      </c>
      <c r="J23" s="130" t="s">
        <v>119</v>
      </c>
      <c r="L23" s="91">
        <v>16.933084914198826</v>
      </c>
      <c r="M23" s="131" t="s">
        <v>394</v>
      </c>
      <c r="N23" s="132"/>
      <c r="O23" s="132"/>
      <c r="P23" s="133"/>
    </row>
    <row r="24" spans="1:16" ht="13.5" thickBot="1">
      <c r="A24" s="103">
        <v>8</v>
      </c>
      <c r="B24" s="108" t="str">
        <f>+D14</f>
        <v>PRECorp</v>
      </c>
      <c r="C24" s="108"/>
      <c r="D24" s="135">
        <v>2123466</v>
      </c>
      <c r="E24" s="136">
        <f>-H14</f>
        <v>-27397.980711395488</v>
      </c>
      <c r="F24" s="136">
        <f>+E24+D24</f>
        <v>2096068.0192886046</v>
      </c>
      <c r="G24" s="68">
        <f>+G23</f>
        <v>952583.33333333337</v>
      </c>
      <c r="H24" s="69">
        <f>+F24/G24</f>
        <v>2.2004038344382169</v>
      </c>
      <c r="J24" s="130" t="s">
        <v>119</v>
      </c>
      <c r="L24" s="91">
        <v>2.1815645241491315</v>
      </c>
      <c r="M24" s="137" t="s">
        <v>395</v>
      </c>
      <c r="N24" s="138"/>
      <c r="O24" s="138"/>
      <c r="P24" s="139"/>
    </row>
    <row r="25" spans="1:16">
      <c r="A25" s="103">
        <v>9</v>
      </c>
      <c r="B25" s="8" t="s">
        <v>198</v>
      </c>
      <c r="D25" s="129">
        <f>SUM(D22:D24)</f>
        <v>43056274.594943836</v>
      </c>
      <c r="E25" s="129">
        <f>SUM(E22:E24)</f>
        <v>-535372.00000000012</v>
      </c>
      <c r="F25" s="129">
        <f>SUM(F22:F24)</f>
        <v>42520902.594943836</v>
      </c>
      <c r="H25" s="140">
        <f>SUM(H22:H24)</f>
        <v>44.637462263959932</v>
      </c>
    </row>
    <row r="26" spans="1:16">
      <c r="F26" s="129"/>
      <c r="G26" s="141"/>
      <c r="H26" s="140"/>
    </row>
    <row r="27" spans="1:16">
      <c r="A27" s="90" t="s">
        <v>369</v>
      </c>
    </row>
    <row r="28" spans="1:16">
      <c r="A28" s="103">
        <v>10</v>
      </c>
      <c r="D28" s="8" t="s">
        <v>370</v>
      </c>
      <c r="F28" s="142">
        <f>+H25</f>
        <v>44.637462263959932</v>
      </c>
      <c r="G28" s="143" t="s">
        <v>371</v>
      </c>
    </row>
    <row r="29" spans="1:16">
      <c r="A29" s="103">
        <f t="shared" ref="A29:A34" si="0">+A28+1</f>
        <v>11</v>
      </c>
      <c r="D29" s="8" t="s">
        <v>372</v>
      </c>
      <c r="F29" s="113">
        <f>ROUND(F28/12,2)</f>
        <v>3.72</v>
      </c>
      <c r="G29" s="143" t="s">
        <v>373</v>
      </c>
    </row>
    <row r="30" spans="1:16">
      <c r="A30" s="103">
        <f t="shared" si="0"/>
        <v>12</v>
      </c>
      <c r="D30" s="8" t="s">
        <v>374</v>
      </c>
      <c r="F30" s="113">
        <f>ROUND(F28/52,2)</f>
        <v>0.86</v>
      </c>
      <c r="G30" s="143" t="s">
        <v>375</v>
      </c>
    </row>
    <row r="31" spans="1:16">
      <c r="A31" s="103">
        <f t="shared" si="0"/>
        <v>13</v>
      </c>
      <c r="D31" s="8" t="s">
        <v>376</v>
      </c>
      <c r="E31" s="8" t="s">
        <v>377</v>
      </c>
      <c r="F31" s="144">
        <f>+F30/6</f>
        <v>0.14333333333333334</v>
      </c>
      <c r="G31" s="143" t="s">
        <v>378</v>
      </c>
    </row>
    <row r="32" spans="1:16">
      <c r="A32" s="103">
        <f t="shared" si="0"/>
        <v>14</v>
      </c>
      <c r="D32" s="8" t="s">
        <v>379</v>
      </c>
      <c r="E32" s="8" t="s">
        <v>380</v>
      </c>
      <c r="F32" s="144">
        <f>+F30/7</f>
        <v>0.12285714285714286</v>
      </c>
      <c r="G32" s="143" t="s">
        <v>378</v>
      </c>
    </row>
    <row r="33" spans="1:7">
      <c r="A33" s="103">
        <f t="shared" si="0"/>
        <v>15</v>
      </c>
      <c r="D33" s="8" t="s">
        <v>381</v>
      </c>
      <c r="E33" s="8" t="s">
        <v>382</v>
      </c>
      <c r="F33" s="145">
        <f>+F31/16</f>
        <v>8.9583333333333338E-3</v>
      </c>
      <c r="G33" s="143" t="s">
        <v>383</v>
      </c>
    </row>
    <row r="34" spans="1:7">
      <c r="A34" s="103">
        <f t="shared" si="0"/>
        <v>16</v>
      </c>
      <c r="D34" s="8" t="s">
        <v>384</v>
      </c>
      <c r="E34" s="8" t="s">
        <v>385</v>
      </c>
      <c r="F34" s="145">
        <f>+F32/24</f>
        <v>5.1190476190476194E-3</v>
      </c>
      <c r="G34" s="143" t="s">
        <v>383</v>
      </c>
    </row>
    <row r="40" spans="1:7">
      <c r="A40" s="90" t="s">
        <v>386</v>
      </c>
    </row>
    <row r="42" spans="1:7">
      <c r="B42" s="8" t="str">
        <f>+D20</f>
        <v>Component Annual Revenue Requirements</v>
      </c>
      <c r="E42" s="129">
        <f>+D25</f>
        <v>43056274.594943836</v>
      </c>
    </row>
    <row r="43" spans="1:7">
      <c r="B43" s="7" t="s">
        <v>361</v>
      </c>
      <c r="E43" s="129">
        <f>+E25</f>
        <v>-535372.00000000012</v>
      </c>
    </row>
    <row r="44" spans="1:7">
      <c r="B44" s="8" t="str">
        <f>+F20</f>
        <v>Net Revenue Requirements</v>
      </c>
      <c r="E44" s="129">
        <f>+F25</f>
        <v>42520902.594943836</v>
      </c>
    </row>
    <row r="45" spans="1:7">
      <c r="B45" s="8" t="str">
        <f>+G20</f>
        <v>Actual 2019 Load</v>
      </c>
      <c r="E45" s="141">
        <f>+G22</f>
        <v>952583.33333333337</v>
      </c>
    </row>
    <row r="46" spans="1:7">
      <c r="B46" s="8" t="str">
        <f>+H20</f>
        <v>Annual Rate</v>
      </c>
      <c r="E46" s="142">
        <f>+E44/E45</f>
        <v>44.637462263959932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N237"/>
  <sheetViews>
    <sheetView showGridLines="0" view="pageBreakPreview" topLeftCell="A89" zoomScale="85" zoomScaleNormal="90" zoomScaleSheetLayoutView="85" workbookViewId="0">
      <selection activeCell="J119" sqref="J119"/>
    </sheetView>
  </sheetViews>
  <sheetFormatPr defaultRowHeight="15"/>
  <cols>
    <col min="1" max="1" width="6" style="76" customWidth="1"/>
    <col min="2" max="2" width="1.44140625" style="76" customWidth="1"/>
    <col min="3" max="3" width="41.109375" style="76" customWidth="1"/>
    <col min="4" max="4" width="34.5546875" style="76" customWidth="1"/>
    <col min="5" max="5" width="15.21875" style="76" customWidth="1"/>
    <col min="6" max="6" width="7.77734375" style="76" customWidth="1"/>
    <col min="7" max="7" width="11.88671875" style="76" bestFit="1" customWidth="1"/>
    <col min="8" max="8" width="14" style="76" customWidth="1"/>
    <col min="9" max="9" width="4.88671875" style="76" customWidth="1"/>
    <col min="10" max="10" width="14.109375" style="76" customWidth="1"/>
    <col min="11" max="11" width="0.109375" style="76" customWidth="1"/>
    <col min="12" max="12" width="14.44140625" style="76" bestFit="1" customWidth="1"/>
    <col min="13" max="15" width="13.44140625" style="76" bestFit="1" customWidth="1"/>
    <col min="16" max="16384" width="8.88671875" style="76"/>
  </cols>
  <sheetData>
    <row r="1" spans="1:40">
      <c r="I1" s="209" t="s">
        <v>418</v>
      </c>
      <c r="J1" s="210">
        <v>43982</v>
      </c>
    </row>
    <row r="2" spans="1:40" ht="15.75">
      <c r="A2" s="3"/>
      <c r="B2" s="3"/>
      <c r="C2" s="3"/>
      <c r="D2" s="48"/>
      <c r="E2" s="3"/>
      <c r="F2" s="3"/>
      <c r="G2" s="3"/>
      <c r="I2" s="175" t="s">
        <v>166</v>
      </c>
      <c r="J2" s="75">
        <v>2019</v>
      </c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</row>
    <row r="4" spans="1:40" ht="15" customHeight="1">
      <c r="A4" s="336" t="s">
        <v>321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</row>
    <row r="5" spans="1:40" ht="15.75">
      <c r="A5" s="337" t="s">
        <v>195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</row>
    <row r="6" spans="1:40">
      <c r="A6" s="3"/>
      <c r="B6" s="3"/>
      <c r="C6" s="75"/>
      <c r="D6" s="75"/>
      <c r="F6" s="75"/>
      <c r="G6" s="75"/>
      <c r="H6" s="75"/>
      <c r="I6" s="75"/>
      <c r="J6" s="75"/>
      <c r="K6" s="75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</row>
    <row r="7" spans="1:40" ht="15" customHeight="1">
      <c r="A7" s="338" t="s">
        <v>320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</row>
    <row r="8" spans="1:40">
      <c r="A8" s="9"/>
      <c r="B8" s="3"/>
      <c r="C8" s="75"/>
      <c r="D8" s="75"/>
      <c r="E8" s="179"/>
      <c r="F8" s="75"/>
      <c r="G8" s="75"/>
      <c r="H8" s="75"/>
      <c r="I8" s="75"/>
      <c r="J8" s="75"/>
      <c r="K8" s="75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</row>
    <row r="9" spans="1:40">
      <c r="A9" s="3"/>
      <c r="B9" s="3"/>
      <c r="C9" s="180" t="s">
        <v>201</v>
      </c>
      <c r="D9" s="180" t="s">
        <v>202</v>
      </c>
      <c r="E9" s="180" t="s">
        <v>203</v>
      </c>
      <c r="F9" s="1" t="s">
        <v>194</v>
      </c>
      <c r="G9" s="1"/>
      <c r="H9" s="212" t="s">
        <v>204</v>
      </c>
      <c r="I9" s="1"/>
      <c r="J9" s="213" t="s">
        <v>205</v>
      </c>
      <c r="K9" s="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</row>
    <row r="10" spans="1:40" ht="15.75">
      <c r="A10" s="3"/>
      <c r="B10" s="3"/>
      <c r="C10" s="97"/>
      <c r="D10" s="178" t="s">
        <v>206</v>
      </c>
      <c r="E10" s="1"/>
      <c r="F10" s="1"/>
      <c r="G10" s="214" t="s">
        <v>93</v>
      </c>
      <c r="H10" s="9"/>
      <c r="I10" s="1"/>
      <c r="J10" s="177" t="s">
        <v>207</v>
      </c>
      <c r="K10" s="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</row>
    <row r="11" spans="1:40" ht="15.75">
      <c r="A11" s="9" t="s">
        <v>196</v>
      </c>
      <c r="B11" s="3"/>
      <c r="C11" s="97"/>
      <c r="D11" s="181" t="s">
        <v>208</v>
      </c>
      <c r="E11" s="177" t="s">
        <v>209</v>
      </c>
      <c r="F11" s="182"/>
      <c r="G11" s="215" t="s">
        <v>83</v>
      </c>
      <c r="H11" s="216"/>
      <c r="I11" s="182"/>
      <c r="J11" s="9" t="s">
        <v>210</v>
      </c>
      <c r="K11" s="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</row>
    <row r="12" spans="1:40" ht="16.5" thickBot="1">
      <c r="A12" s="184" t="s">
        <v>197</v>
      </c>
      <c r="B12" s="3"/>
      <c r="C12" s="185" t="s">
        <v>211</v>
      </c>
      <c r="D12" s="1"/>
      <c r="E12" s="1"/>
      <c r="F12" s="1"/>
      <c r="G12" s="1"/>
      <c r="H12" s="1"/>
      <c r="I12" s="1"/>
      <c r="J12" s="1"/>
      <c r="K12" s="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</row>
    <row r="13" spans="1:40">
      <c r="A13" s="9"/>
      <c r="B13" s="3"/>
      <c r="C13" s="97"/>
      <c r="D13" s="1"/>
      <c r="E13" s="1"/>
      <c r="F13" s="1"/>
      <c r="G13" s="1"/>
      <c r="H13" s="1"/>
      <c r="I13" s="1"/>
      <c r="J13" s="1"/>
      <c r="K13" s="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</row>
    <row r="14" spans="1:40">
      <c r="A14" s="9"/>
      <c r="B14" s="3"/>
      <c r="C14" s="97" t="s">
        <v>212</v>
      </c>
      <c r="D14" s="1" t="s">
        <v>419</v>
      </c>
      <c r="E14" s="1"/>
      <c r="F14" s="1"/>
      <c r="G14" s="1"/>
      <c r="H14" s="1"/>
      <c r="I14" s="1"/>
      <c r="J14" s="1"/>
      <c r="K14" s="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</row>
    <row r="15" spans="1:40">
      <c r="A15" s="9">
        <v>1</v>
      </c>
      <c r="B15" s="3"/>
      <c r="C15" s="97" t="s">
        <v>213</v>
      </c>
      <c r="D15" s="1" t="s">
        <v>73</v>
      </c>
      <c r="E15" s="1">
        <f>+'WP6 Rate Base'!R15</f>
        <v>599686501.45999992</v>
      </c>
      <c r="F15" s="1"/>
      <c r="G15" s="1" t="s">
        <v>214</v>
      </c>
      <c r="H15" s="217" t="s">
        <v>194</v>
      </c>
      <c r="I15" s="1"/>
      <c r="J15" s="1" t="s">
        <v>194</v>
      </c>
      <c r="K15" s="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</row>
    <row r="16" spans="1:40">
      <c r="A16" s="9">
        <f>+A15+1</f>
        <v>2</v>
      </c>
      <c r="B16" s="3"/>
      <c r="C16" s="97" t="s">
        <v>215</v>
      </c>
      <c r="D16" s="1" t="s">
        <v>120</v>
      </c>
      <c r="E16" s="1">
        <f>+'WP6 Rate Base'!R16</f>
        <v>215706373.28769237</v>
      </c>
      <c r="F16" s="1"/>
      <c r="G16" s="1" t="s">
        <v>200</v>
      </c>
      <c r="H16" s="217">
        <f>+J143</f>
        <v>0.89197800000000005</v>
      </c>
      <c r="I16" s="1"/>
      <c r="J16" s="1">
        <f>+H16*E16</f>
        <v>192405339.43240929</v>
      </c>
      <c r="K16" s="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</row>
    <row r="17" spans="1:40">
      <c r="A17" s="9">
        <f t="shared" ref="A17:A62" si="0">+A16+1</f>
        <v>3</v>
      </c>
      <c r="B17" s="3"/>
      <c r="C17" s="97" t="s">
        <v>216</v>
      </c>
      <c r="D17" s="1" t="s">
        <v>121</v>
      </c>
      <c r="E17" s="1">
        <f>+'WP6 Rate Base'!R17</f>
        <v>410802922.74307692</v>
      </c>
      <c r="F17" s="1"/>
      <c r="G17" s="1" t="s">
        <v>214</v>
      </c>
      <c r="H17" s="218"/>
      <c r="I17" s="1"/>
      <c r="J17" s="1"/>
      <c r="K17" s="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</row>
    <row r="18" spans="1:40">
      <c r="A18" s="9">
        <f t="shared" si="0"/>
        <v>4</v>
      </c>
      <c r="B18" s="3"/>
      <c r="C18" s="97" t="s">
        <v>217</v>
      </c>
      <c r="D18" s="1" t="s">
        <v>420</v>
      </c>
      <c r="E18" s="1">
        <f>+'WP6 Rate Base'!R18</f>
        <v>47602882.202307701</v>
      </c>
      <c r="F18" s="1"/>
      <c r="G18" s="1" t="s">
        <v>218</v>
      </c>
      <c r="H18" s="217">
        <f>J175</f>
        <v>0.1196610123861062</v>
      </c>
      <c r="I18" s="1"/>
      <c r="J18" s="1">
        <f>+H18*E18</f>
        <v>5696209.0768246958</v>
      </c>
      <c r="K18" s="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</row>
    <row r="19" spans="1:40">
      <c r="A19" s="9">
        <f t="shared" si="0"/>
        <v>5</v>
      </c>
      <c r="B19" s="3"/>
      <c r="C19" s="97" t="s">
        <v>137</v>
      </c>
      <c r="D19" s="1" t="s">
        <v>421</v>
      </c>
      <c r="E19" s="1">
        <f>+'WP6 Rate Base'!R19</f>
        <v>30330079.076923076</v>
      </c>
      <c r="F19" s="1"/>
      <c r="G19" s="1" t="s">
        <v>218</v>
      </c>
      <c r="H19" s="217">
        <f>+H18</f>
        <v>0.1196610123861062</v>
      </c>
      <c r="I19" s="1"/>
      <c r="J19" s="1">
        <f>+H19*E19</f>
        <v>3629327.9680952728</v>
      </c>
      <c r="K19" s="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</row>
    <row r="20" spans="1:40">
      <c r="A20" s="9">
        <f t="shared" si="0"/>
        <v>6</v>
      </c>
      <c r="B20" s="3"/>
      <c r="C20" s="97" t="s">
        <v>102</v>
      </c>
      <c r="D20" s="1" t="s">
        <v>420</v>
      </c>
      <c r="E20" s="1">
        <f>+'WP6 Rate Base'!R20</f>
        <v>7090948.5699999994</v>
      </c>
      <c r="F20" s="1"/>
      <c r="G20" s="1" t="s">
        <v>131</v>
      </c>
      <c r="H20" s="217">
        <f>+J181</f>
        <v>0.3419206109142468</v>
      </c>
      <c r="I20" s="1"/>
      <c r="J20" s="1">
        <f>+H20*E20</f>
        <v>2424541.4670159044</v>
      </c>
      <c r="K20" s="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</row>
    <row r="21" spans="1:40" ht="15.75" thickBot="1">
      <c r="A21" s="9">
        <f t="shared" si="0"/>
        <v>7</v>
      </c>
      <c r="B21" s="3"/>
      <c r="C21" s="97" t="s">
        <v>219</v>
      </c>
      <c r="D21" s="1" t="s">
        <v>220</v>
      </c>
      <c r="E21" s="4">
        <f>+'WP6 Rate Base'!R21</f>
        <v>0</v>
      </c>
      <c r="F21" s="1"/>
      <c r="G21" s="1" t="s">
        <v>251</v>
      </c>
      <c r="H21" s="217">
        <v>0</v>
      </c>
      <c r="I21" s="1"/>
      <c r="J21" s="4">
        <f>+H21*E21</f>
        <v>0</v>
      </c>
      <c r="K21" s="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</row>
    <row r="22" spans="1:40">
      <c r="A22" s="9">
        <f t="shared" si="0"/>
        <v>8</v>
      </c>
      <c r="B22" s="3"/>
      <c r="C22" s="96" t="s">
        <v>5</v>
      </c>
      <c r="D22" s="1" t="str">
        <f>"(sum lines "&amp;A15&amp;" - "&amp;A21&amp;")"</f>
        <v>(sum lines 1 - 7)</v>
      </c>
      <c r="E22" s="1">
        <f>SUM(E15:E21)</f>
        <v>1311219707.3400002</v>
      </c>
      <c r="F22" s="1"/>
      <c r="G22" s="1" t="s">
        <v>221</v>
      </c>
      <c r="H22" s="219">
        <f>IF(E22&gt;0,+J22/E22,0)</f>
        <v>0.15569886328089447</v>
      </c>
      <c r="I22" s="1"/>
      <c r="J22" s="1">
        <f>SUM(J15:J21)</f>
        <v>204155417.94434515</v>
      </c>
      <c r="K22" s="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</row>
    <row r="23" spans="1:40">
      <c r="A23" s="9">
        <f t="shared" si="0"/>
        <v>9</v>
      </c>
      <c r="B23" s="3"/>
      <c r="C23" s="97"/>
      <c r="D23" s="1"/>
      <c r="E23" s="1"/>
      <c r="F23" s="1"/>
      <c r="G23" s="1"/>
      <c r="H23" s="219"/>
      <c r="I23" s="1"/>
      <c r="J23" s="1"/>
      <c r="K23" s="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</row>
    <row r="24" spans="1:40">
      <c r="A24" s="9">
        <f t="shared" si="0"/>
        <v>10</v>
      </c>
      <c r="B24" s="3"/>
      <c r="C24" s="97" t="s">
        <v>222</v>
      </c>
      <c r="D24" s="1" t="s">
        <v>419</v>
      </c>
      <c r="E24" s="1"/>
      <c r="F24" s="1"/>
      <c r="G24" s="1"/>
      <c r="H24" s="1"/>
      <c r="I24" s="1"/>
      <c r="J24" s="1"/>
      <c r="K24" s="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</row>
    <row r="25" spans="1:40">
      <c r="A25" s="9">
        <f t="shared" si="0"/>
        <v>11</v>
      </c>
      <c r="B25" s="3"/>
      <c r="C25" s="97" t="str">
        <f>+C15</f>
        <v xml:space="preserve">  Production</v>
      </c>
      <c r="D25" s="1" t="s">
        <v>408</v>
      </c>
      <c r="E25" s="1">
        <f>+'WP6 Rate Base'!R25</f>
        <v>209907943.34779534</v>
      </c>
      <c r="F25" s="1"/>
      <c r="G25" s="1" t="str">
        <f>+G15</f>
        <v>NA</v>
      </c>
      <c r="H25" s="217" t="str">
        <f>+H15</f>
        <v xml:space="preserve"> </v>
      </c>
      <c r="I25" s="1"/>
      <c r="J25" s="1" t="s">
        <v>194</v>
      </c>
      <c r="K25" s="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</row>
    <row r="26" spans="1:40">
      <c r="A26" s="9">
        <f t="shared" si="0"/>
        <v>12</v>
      </c>
      <c r="B26" s="3"/>
      <c r="C26" s="97" t="s">
        <v>215</v>
      </c>
      <c r="D26" s="1" t="s">
        <v>122</v>
      </c>
      <c r="E26" s="1">
        <f>+'WP6 Rate Base'!R26</f>
        <v>51000511.331745811</v>
      </c>
      <c r="F26" s="1"/>
      <c r="G26" s="1" t="s">
        <v>80</v>
      </c>
      <c r="H26" s="217">
        <f>+J161</f>
        <v>0.84123899999999996</v>
      </c>
      <c r="I26" s="1"/>
      <c r="J26" s="1">
        <f>+H26*E26</f>
        <v>42903619.15220651</v>
      </c>
      <c r="K26" s="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</row>
    <row r="27" spans="1:40">
      <c r="A27" s="9">
        <f t="shared" si="0"/>
        <v>13</v>
      </c>
      <c r="B27" s="3"/>
      <c r="C27" s="97" t="s">
        <v>216</v>
      </c>
      <c r="D27" s="1" t="s">
        <v>123</v>
      </c>
      <c r="E27" s="1">
        <f>+'WP6 Rate Base'!R27</f>
        <v>145835928.93606061</v>
      </c>
      <c r="F27" s="1"/>
      <c r="G27" s="1" t="s">
        <v>214</v>
      </c>
      <c r="H27" s="217"/>
      <c r="I27" s="1"/>
      <c r="J27" s="1"/>
      <c r="K27" s="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</row>
    <row r="28" spans="1:40">
      <c r="A28" s="9">
        <f t="shared" si="0"/>
        <v>14</v>
      </c>
      <c r="B28" s="3"/>
      <c r="C28" s="97" t="str">
        <f>+C18</f>
        <v xml:space="preserve">  General &amp; Intangible</v>
      </c>
      <c r="D28" s="1" t="s">
        <v>406</v>
      </c>
      <c r="E28" s="1">
        <f>+'WP6 Rate Base'!R28</f>
        <v>24640696.960962646</v>
      </c>
      <c r="F28" s="1"/>
      <c r="G28" s="1" t="str">
        <f>+G18</f>
        <v>W/S</v>
      </c>
      <c r="H28" s="217">
        <f>+H18</f>
        <v>0.1196610123861062</v>
      </c>
      <c r="I28" s="1"/>
      <c r="J28" s="1">
        <f>+H28*E28</f>
        <v>2948530.7442480405</v>
      </c>
      <c r="K28" s="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</row>
    <row r="29" spans="1:40">
      <c r="A29" s="9">
        <f t="shared" si="0"/>
        <v>15</v>
      </c>
      <c r="B29" s="3"/>
      <c r="C29" s="97" t="s">
        <v>137</v>
      </c>
      <c r="D29" s="1" t="s">
        <v>421</v>
      </c>
      <c r="E29" s="1">
        <f>+'WP6 Rate Base'!R29</f>
        <v>14601939.76923077</v>
      </c>
      <c r="F29" s="1"/>
      <c r="G29" s="1" t="str">
        <f>+G19</f>
        <v>W/S</v>
      </c>
      <c r="H29" s="217">
        <f>+H28</f>
        <v>0.1196610123861062</v>
      </c>
      <c r="I29" s="1"/>
      <c r="J29" s="1">
        <f>+H29*E29</f>
        <v>1747282.8955870999</v>
      </c>
      <c r="K29" s="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</row>
    <row r="30" spans="1:40">
      <c r="A30" s="9">
        <f t="shared" si="0"/>
        <v>16</v>
      </c>
      <c r="B30" s="3"/>
      <c r="C30" s="97" t="str">
        <f>+C20</f>
        <v xml:space="preserve">  Communication System</v>
      </c>
      <c r="D30" s="1" t="s">
        <v>420</v>
      </c>
      <c r="E30" s="1">
        <f>+'WP6 Rate Base'!R30</f>
        <v>4438704.3679757956</v>
      </c>
      <c r="F30" s="1"/>
      <c r="G30" s="1" t="str">
        <f>+G20</f>
        <v>T&amp;D</v>
      </c>
      <c r="H30" s="217">
        <f>+H20</f>
        <v>0.3419206109142468</v>
      </c>
      <c r="I30" s="1"/>
      <c r="J30" s="1">
        <f>+H30*E30</f>
        <v>1517684.5091660197</v>
      </c>
      <c r="K30" s="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</row>
    <row r="31" spans="1:40" ht="15.75" thickBot="1">
      <c r="A31" s="9">
        <f t="shared" si="0"/>
        <v>17</v>
      </c>
      <c r="B31" s="3"/>
      <c r="C31" s="97" t="str">
        <f>+C21</f>
        <v xml:space="preserve">  Common</v>
      </c>
      <c r="D31" s="1" t="s">
        <v>220</v>
      </c>
      <c r="E31" s="4">
        <f>+'WP6 Rate Base'!R31</f>
        <v>0</v>
      </c>
      <c r="F31" s="1"/>
      <c r="G31" s="1" t="str">
        <f>+G21</f>
        <v>CE</v>
      </c>
      <c r="H31" s="217">
        <f>+H21</f>
        <v>0</v>
      </c>
      <c r="I31" s="1"/>
      <c r="J31" s="4">
        <f>+H31*E31</f>
        <v>0</v>
      </c>
      <c r="K31" s="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</row>
    <row r="32" spans="1:40">
      <c r="A32" s="9">
        <f t="shared" si="0"/>
        <v>18</v>
      </c>
      <c r="B32" s="3"/>
      <c r="C32" s="97" t="s">
        <v>7</v>
      </c>
      <c r="D32" s="1" t="str">
        <f>"(sum lines "&amp;A25&amp;" - "&amp;A31&amp;")"</f>
        <v>(sum lines 11 - 17)</v>
      </c>
      <c r="E32" s="1">
        <f>SUM(E25:E31)</f>
        <v>450425724.71377099</v>
      </c>
      <c r="F32" s="1"/>
      <c r="G32" s="1"/>
      <c r="H32" s="1"/>
      <c r="I32" s="1"/>
      <c r="J32" s="1">
        <f>SUM(J25:J31)</f>
        <v>49117117.301207669</v>
      </c>
      <c r="K32" s="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</row>
    <row r="33" spans="1:40">
      <c r="A33" s="9">
        <f t="shared" si="0"/>
        <v>19</v>
      </c>
      <c r="B33" s="3"/>
      <c r="C33" s="3"/>
      <c r="D33" s="1" t="s">
        <v>194</v>
      </c>
      <c r="E33" s="3"/>
      <c r="F33" s="1"/>
      <c r="G33" s="1"/>
      <c r="H33" s="219"/>
      <c r="I33" s="1"/>
      <c r="J33" s="3"/>
      <c r="K33" s="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</row>
    <row r="34" spans="1:40">
      <c r="A34" s="9">
        <f t="shared" si="0"/>
        <v>20</v>
      </c>
      <c r="B34" s="3"/>
      <c r="C34" s="97" t="s">
        <v>223</v>
      </c>
      <c r="D34" s="1" t="s">
        <v>419</v>
      </c>
      <c r="E34" s="1"/>
      <c r="F34" s="1"/>
      <c r="G34" s="1"/>
      <c r="H34" s="1"/>
      <c r="I34" s="1"/>
      <c r="J34" s="1"/>
      <c r="K34" s="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</row>
    <row r="35" spans="1:40">
      <c r="A35" s="9">
        <f t="shared" si="0"/>
        <v>21</v>
      </c>
      <c r="B35" s="3"/>
      <c r="C35" s="97" t="str">
        <f>+C25</f>
        <v xml:space="preserve">  Production</v>
      </c>
      <c r="D35" s="1" t="str">
        <f t="shared" ref="D35:D41" si="1">"(line "&amp;A15&amp;" - line "&amp;A25&amp;")"</f>
        <v>(line 1 - line 11)</v>
      </c>
      <c r="E35" s="1">
        <f t="shared" ref="E35:E42" si="2">E15-E25</f>
        <v>389778558.11220455</v>
      </c>
      <c r="F35" s="1"/>
      <c r="G35" s="1" t="s">
        <v>91</v>
      </c>
      <c r="H35" s="219"/>
      <c r="I35" s="1"/>
      <c r="J35" s="1" t="s">
        <v>194</v>
      </c>
      <c r="K35" s="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</row>
    <row r="36" spans="1:40">
      <c r="A36" s="9">
        <f t="shared" si="0"/>
        <v>22</v>
      </c>
      <c r="B36" s="3"/>
      <c r="C36" s="97" t="s">
        <v>215</v>
      </c>
      <c r="D36" s="1" t="str">
        <f t="shared" si="1"/>
        <v>(line 2 - line 12)</v>
      </c>
      <c r="E36" s="1">
        <f t="shared" si="2"/>
        <v>164705861.95594656</v>
      </c>
      <c r="F36" s="1"/>
      <c r="G36" s="1" t="s">
        <v>91</v>
      </c>
      <c r="H36" s="217"/>
      <c r="I36" s="1"/>
      <c r="J36" s="1">
        <f>J16-J26</f>
        <v>149501720.28020278</v>
      </c>
      <c r="K36" s="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</row>
    <row r="37" spans="1:40">
      <c r="A37" s="9">
        <f t="shared" si="0"/>
        <v>23</v>
      </c>
      <c r="B37" s="3"/>
      <c r="C37" s="97" t="s">
        <v>297</v>
      </c>
      <c r="D37" s="1" t="str">
        <f t="shared" si="1"/>
        <v>(line 3 - line 13)</v>
      </c>
      <c r="E37" s="1">
        <f t="shared" si="2"/>
        <v>264966993.80701631</v>
      </c>
      <c r="F37" s="1"/>
      <c r="G37" s="1" t="s">
        <v>91</v>
      </c>
      <c r="H37" s="219"/>
      <c r="I37" s="1"/>
      <c r="J37" s="1"/>
      <c r="K37" s="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</row>
    <row r="38" spans="1:40">
      <c r="A38" s="9">
        <f t="shared" si="0"/>
        <v>24</v>
      </c>
      <c r="B38" s="3"/>
      <c r="C38" s="97" t="str">
        <f>+C28</f>
        <v xml:space="preserve">  General &amp; Intangible</v>
      </c>
      <c r="D38" s="1" t="str">
        <f t="shared" si="1"/>
        <v>(line 4 - line 14)</v>
      </c>
      <c r="E38" s="1">
        <f t="shared" si="2"/>
        <v>22962185.241345055</v>
      </c>
      <c r="F38" s="1"/>
      <c r="G38" s="1" t="s">
        <v>91</v>
      </c>
      <c r="H38" s="219"/>
      <c r="I38" s="1"/>
      <c r="J38" s="1">
        <f>J18-J28</f>
        <v>2747678.3325766553</v>
      </c>
      <c r="K38" s="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</row>
    <row r="39" spans="1:40">
      <c r="A39" s="9">
        <f t="shared" si="0"/>
        <v>25</v>
      </c>
      <c r="B39" s="3"/>
      <c r="C39" s="97" t="s">
        <v>137</v>
      </c>
      <c r="D39" s="1" t="str">
        <f t="shared" si="1"/>
        <v>(line 5 - line 15)</v>
      </c>
      <c r="E39" s="1">
        <f t="shared" si="2"/>
        <v>15728139.307692306</v>
      </c>
      <c r="F39" s="1"/>
      <c r="G39" s="1" t="s">
        <v>91</v>
      </c>
      <c r="H39" s="219"/>
      <c r="I39" s="1"/>
      <c r="J39" s="1">
        <f>J19-J29</f>
        <v>1882045.0725081728</v>
      </c>
      <c r="K39" s="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</row>
    <row r="40" spans="1:40">
      <c r="A40" s="9">
        <f t="shared" si="0"/>
        <v>26</v>
      </c>
      <c r="B40" s="3"/>
      <c r="C40" s="97" t="str">
        <f>+C30</f>
        <v xml:space="preserve">  Communication System</v>
      </c>
      <c r="D40" s="1" t="str">
        <f t="shared" si="1"/>
        <v>(line 6 - line 16)</v>
      </c>
      <c r="E40" s="1">
        <f t="shared" si="2"/>
        <v>2652244.2020242037</v>
      </c>
      <c r="F40" s="1"/>
      <c r="G40" s="1" t="s">
        <v>91</v>
      </c>
      <c r="H40" s="219"/>
      <c r="I40" s="1"/>
      <c r="J40" s="1">
        <f>J20-J30</f>
        <v>906856.95784988464</v>
      </c>
      <c r="K40" s="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</row>
    <row r="41" spans="1:40" ht="15.75" thickBot="1">
      <c r="A41" s="9">
        <f t="shared" si="0"/>
        <v>27</v>
      </c>
      <c r="B41" s="3"/>
      <c r="C41" s="97" t="str">
        <f>+C31</f>
        <v xml:space="preserve">  Common</v>
      </c>
      <c r="D41" s="1" t="str">
        <f t="shared" si="1"/>
        <v>(line 7 - line 17)</v>
      </c>
      <c r="E41" s="4">
        <f t="shared" si="2"/>
        <v>0</v>
      </c>
      <c r="F41" s="1"/>
      <c r="G41" s="1" t="s">
        <v>91</v>
      </c>
      <c r="H41" s="219"/>
      <c r="I41" s="1"/>
      <c r="J41" s="4">
        <f>J21-J31</f>
        <v>0</v>
      </c>
      <c r="K41" s="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</row>
    <row r="42" spans="1:40">
      <c r="A42" s="9">
        <f t="shared" si="0"/>
        <v>28</v>
      </c>
      <c r="B42" s="3"/>
      <c r="C42" s="97" t="s">
        <v>6</v>
      </c>
      <c r="D42" s="1" t="str">
        <f>"(sum lines "&amp;A35&amp;" - "&amp;A41&amp;")"</f>
        <v>(sum lines 21 - 27)</v>
      </c>
      <c r="E42" s="1">
        <f t="shared" si="2"/>
        <v>860793982.62622917</v>
      </c>
      <c r="F42" s="1"/>
      <c r="G42" s="1" t="s">
        <v>224</v>
      </c>
      <c r="H42" s="219">
        <f>IF(E42&gt;0,+J42/E42,0)</f>
        <v>0.18011080905808061</v>
      </c>
      <c r="I42" s="1"/>
      <c r="J42" s="1">
        <f>SUM(J35:J41)</f>
        <v>155038300.64313751</v>
      </c>
      <c r="K42" s="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</row>
    <row r="43" spans="1:40">
      <c r="A43" s="9">
        <f t="shared" si="0"/>
        <v>29</v>
      </c>
      <c r="B43" s="3"/>
      <c r="C43" s="3"/>
      <c r="D43" s="1"/>
      <c r="E43" s="19"/>
      <c r="F43" s="1"/>
      <c r="G43" s="3"/>
      <c r="H43" s="3"/>
      <c r="I43" s="1"/>
      <c r="J43" s="3"/>
      <c r="K43" s="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</row>
    <row r="44" spans="1:40">
      <c r="A44" s="9">
        <f t="shared" si="0"/>
        <v>30</v>
      </c>
      <c r="B44" s="3"/>
      <c r="C44" s="96" t="s">
        <v>39</v>
      </c>
      <c r="D44" s="1" t="s">
        <v>422</v>
      </c>
      <c r="E44" s="1"/>
      <c r="F44" s="1"/>
      <c r="G44" s="1"/>
      <c r="H44" s="1"/>
      <c r="I44" s="1"/>
      <c r="J44" s="1"/>
      <c r="K44" s="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</row>
    <row r="45" spans="1:40">
      <c r="A45" s="9">
        <f t="shared" si="0"/>
        <v>31</v>
      </c>
      <c r="B45" s="3"/>
      <c r="C45" s="97" t="s">
        <v>269</v>
      </c>
      <c r="D45" s="1" t="s">
        <v>225</v>
      </c>
      <c r="E45" s="19">
        <f>+'WP6 Rate Base'!G50</f>
        <v>0</v>
      </c>
      <c r="F45" s="1"/>
      <c r="G45" s="1" t="str">
        <f>+G25</f>
        <v>NA</v>
      </c>
      <c r="H45" s="220" t="s">
        <v>290</v>
      </c>
      <c r="I45" s="1"/>
      <c r="J45" s="19">
        <v>0</v>
      </c>
      <c r="K45" s="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</row>
    <row r="46" spans="1:40">
      <c r="A46" s="9">
        <f t="shared" si="0"/>
        <v>32</v>
      </c>
      <c r="B46" s="3"/>
      <c r="C46" s="97" t="s">
        <v>270</v>
      </c>
      <c r="D46" s="1" t="s">
        <v>227</v>
      </c>
      <c r="E46" s="19">
        <f>+'WP6 Rate Base'!G51</f>
        <v>-130846471.11449485</v>
      </c>
      <c r="F46" s="1"/>
      <c r="G46" s="1" t="s">
        <v>226</v>
      </c>
      <c r="H46" s="217">
        <f>+H42</f>
        <v>0.18011080905808061</v>
      </c>
      <c r="I46" s="1"/>
      <c r="J46" s="19">
        <f>E46*H46</f>
        <v>-23566863.774826441</v>
      </c>
      <c r="K46" s="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</row>
    <row r="47" spans="1:40">
      <c r="A47" s="9">
        <f t="shared" si="0"/>
        <v>33</v>
      </c>
      <c r="B47" s="3"/>
      <c r="C47" s="97" t="s">
        <v>271</v>
      </c>
      <c r="D47" s="1" t="s">
        <v>228</v>
      </c>
      <c r="E47" s="19">
        <f>+'WP6 Rate Base'!G52</f>
        <v>-17144802.5</v>
      </c>
      <c r="F47" s="1"/>
      <c r="G47" s="1" t="str">
        <f>+G46</f>
        <v>NP</v>
      </c>
      <c r="H47" s="217">
        <f>H42</f>
        <v>0.18011080905808061</v>
      </c>
      <c r="I47" s="1"/>
      <c r="J47" s="19">
        <f>E47*H47</f>
        <v>-3087964.249416003</v>
      </c>
      <c r="K47" s="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</row>
    <row r="48" spans="1:40">
      <c r="A48" s="9">
        <f t="shared" si="0"/>
        <v>34</v>
      </c>
      <c r="B48" s="3"/>
      <c r="C48" s="97" t="s">
        <v>273</v>
      </c>
      <c r="D48" s="1" t="s">
        <v>229</v>
      </c>
      <c r="E48" s="19">
        <f>+'WP6 Rate Base'!G53</f>
        <v>32468528.5</v>
      </c>
      <c r="F48" s="1"/>
      <c r="G48" s="1" t="str">
        <f>+G47</f>
        <v>NP</v>
      </c>
      <c r="H48" s="217">
        <f>+H47</f>
        <v>0.18011080905808061</v>
      </c>
      <c r="I48" s="1"/>
      <c r="J48" s="19">
        <f>E48*H48</f>
        <v>5847932.9370603487</v>
      </c>
      <c r="K48" s="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</row>
    <row r="49" spans="1:40">
      <c r="A49" s="9">
        <f t="shared" si="0"/>
        <v>35</v>
      </c>
      <c r="B49" s="3"/>
      <c r="C49" s="3" t="s">
        <v>272</v>
      </c>
      <c r="D49" s="3" t="s">
        <v>124</v>
      </c>
      <c r="E49" s="19">
        <f>'WP6 Rate Base'!G54</f>
        <v>0</v>
      </c>
      <c r="F49" s="1"/>
      <c r="G49" s="1" t="str">
        <f>+G48</f>
        <v>NP</v>
      </c>
      <c r="H49" s="217">
        <f>+H47</f>
        <v>0.18011080905808061</v>
      </c>
      <c r="I49" s="1"/>
      <c r="J49" s="47">
        <f>E49*H49</f>
        <v>0</v>
      </c>
      <c r="K49" s="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</row>
    <row r="50" spans="1:40" ht="15.75" thickBot="1">
      <c r="A50" s="9">
        <f t="shared" si="0"/>
        <v>36</v>
      </c>
      <c r="B50" s="3"/>
      <c r="C50" s="97" t="s">
        <v>292</v>
      </c>
      <c r="D50" s="3" t="s">
        <v>423</v>
      </c>
      <c r="E50" s="221">
        <f>+'WP6 Rate Base'!G55</f>
        <v>-98982130.341761947</v>
      </c>
      <c r="F50" s="1"/>
      <c r="G50" s="1" t="str">
        <f>+G49</f>
        <v>NP</v>
      </c>
      <c r="H50" s="217">
        <f>+H49</f>
        <v>0.18011080905808061</v>
      </c>
      <c r="I50" s="1"/>
      <c r="J50" s="221">
        <f>+H50*E50</f>
        <v>-17827751.578147132</v>
      </c>
      <c r="K50" s="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</row>
    <row r="51" spans="1:40">
      <c r="A51" s="9">
        <f t="shared" si="0"/>
        <v>37</v>
      </c>
      <c r="B51" s="3"/>
      <c r="C51" s="97" t="s">
        <v>8</v>
      </c>
      <c r="D51" s="1" t="str">
        <f>"(sum lines "&amp;A45&amp;" - "&amp;A50&amp;")"</f>
        <v>(sum lines 31 - 36)</v>
      </c>
      <c r="E51" s="19">
        <f>SUM(E45:E50)</f>
        <v>-214504875.45625681</v>
      </c>
      <c r="F51" s="1"/>
      <c r="G51" s="1"/>
      <c r="H51" s="1"/>
      <c r="I51" s="1"/>
      <c r="J51" s="19">
        <f>SUM(J45:J50)</f>
        <v>-38634646.665329233</v>
      </c>
      <c r="K51" s="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</row>
    <row r="52" spans="1:40">
      <c r="A52" s="9">
        <f t="shared" si="0"/>
        <v>38</v>
      </c>
      <c r="B52" s="3"/>
      <c r="C52" s="3"/>
      <c r="D52" s="1"/>
      <c r="E52" s="3"/>
      <c r="F52" s="1"/>
      <c r="G52" s="1"/>
      <c r="H52" s="219"/>
      <c r="I52" s="1"/>
      <c r="J52" s="3"/>
      <c r="K52" s="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</row>
    <row r="53" spans="1:40">
      <c r="A53" s="9">
        <f t="shared" si="0"/>
        <v>39</v>
      </c>
      <c r="B53" s="3"/>
      <c r="C53" s="96" t="s">
        <v>230</v>
      </c>
      <c r="D53" s="1" t="s">
        <v>299</v>
      </c>
      <c r="E53" s="1">
        <f>+'WP6 Rate Base'!G58</f>
        <v>0</v>
      </c>
      <c r="F53" s="1"/>
      <c r="G53" s="1" t="s">
        <v>387</v>
      </c>
      <c r="H53" s="217">
        <v>0</v>
      </c>
      <c r="I53" s="1"/>
      <c r="J53" s="1">
        <f>+H53*E53</f>
        <v>0</v>
      </c>
      <c r="K53" s="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</row>
    <row r="54" spans="1:40">
      <c r="A54" s="9">
        <f t="shared" si="0"/>
        <v>40</v>
      </c>
      <c r="B54" s="3"/>
      <c r="C54" s="97"/>
      <c r="D54" s="1"/>
      <c r="E54" s="1"/>
      <c r="F54" s="1"/>
      <c r="G54" s="1"/>
      <c r="H54" s="1"/>
      <c r="I54" s="1"/>
      <c r="J54" s="1"/>
      <c r="K54" s="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</row>
    <row r="55" spans="1:40">
      <c r="A55" s="9">
        <f t="shared" si="0"/>
        <v>41</v>
      </c>
      <c r="B55" s="3"/>
      <c r="C55" s="97" t="s">
        <v>298</v>
      </c>
      <c r="D55" s="1" t="s">
        <v>194</v>
      </c>
      <c r="E55" s="1"/>
      <c r="F55" s="1"/>
      <c r="G55" s="1"/>
      <c r="H55" s="1"/>
      <c r="I55" s="1"/>
      <c r="J55" s="1"/>
      <c r="K55" s="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</row>
    <row r="56" spans="1:40">
      <c r="A56" s="9">
        <f t="shared" si="0"/>
        <v>42</v>
      </c>
      <c r="B56" s="3"/>
      <c r="C56" s="97" t="s">
        <v>289</v>
      </c>
      <c r="D56" s="3" t="str">
        <f>"(1/8 * line "&amp;A85&amp;")"</f>
        <v>(1/8 * line 58)</v>
      </c>
      <c r="E56" s="1">
        <f>+E85/8</f>
        <v>4040544.486250001</v>
      </c>
      <c r="F56" s="1"/>
      <c r="G56" s="1" t="s">
        <v>91</v>
      </c>
      <c r="H56" s="219"/>
      <c r="I56" s="1"/>
      <c r="J56" s="1">
        <f>+J85/8</f>
        <v>734629.65927034838</v>
      </c>
      <c r="K56" s="75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</row>
    <row r="57" spans="1:40">
      <c r="A57" s="9">
        <f t="shared" si="0"/>
        <v>43</v>
      </c>
      <c r="B57" s="3"/>
      <c r="C57" s="97" t="s">
        <v>358</v>
      </c>
      <c r="D57" s="1" t="s">
        <v>134</v>
      </c>
      <c r="E57" s="1">
        <f>+'WP6 Rate Base'!G62</f>
        <v>4893771</v>
      </c>
      <c r="F57" s="1"/>
      <c r="G57" s="1" t="s">
        <v>131</v>
      </c>
      <c r="H57" s="217">
        <f>+J181</f>
        <v>0.3419206109142468</v>
      </c>
      <c r="I57" s="1"/>
      <c r="J57" s="1">
        <f>+H57*E57</f>
        <v>1673281.1699944246</v>
      </c>
      <c r="K57" s="1" t="s">
        <v>194</v>
      </c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</row>
    <row r="58" spans="1:40">
      <c r="A58" s="9">
        <f t="shared" si="0"/>
        <v>44</v>
      </c>
      <c r="B58" s="3"/>
      <c r="C58" s="97" t="s">
        <v>358</v>
      </c>
      <c r="D58" s="1" t="s">
        <v>133</v>
      </c>
      <c r="E58" s="1">
        <f>+'WP6 Rate Base'!G63</f>
        <v>20216</v>
      </c>
      <c r="F58" s="1"/>
      <c r="G58" s="1" t="s">
        <v>200</v>
      </c>
      <c r="H58" s="217">
        <f>+J143</f>
        <v>0.89197800000000005</v>
      </c>
      <c r="I58" s="1"/>
      <c r="J58" s="1">
        <f>+H58*E58</f>
        <v>18032.227247999999</v>
      </c>
      <c r="K58" s="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</row>
    <row r="59" spans="1:40" ht="15.75" thickBot="1">
      <c r="A59" s="9">
        <f t="shared" si="0"/>
        <v>45</v>
      </c>
      <c r="B59" s="3"/>
      <c r="C59" s="97" t="s">
        <v>274</v>
      </c>
      <c r="D59" s="1" t="s">
        <v>424</v>
      </c>
      <c r="E59" s="222">
        <f>+'WP6 Rate Base'!G64</f>
        <v>3154730</v>
      </c>
      <c r="F59" s="1"/>
      <c r="G59" s="1" t="s">
        <v>231</v>
      </c>
      <c r="H59" s="217">
        <f>+H22</f>
        <v>0.15569886328089447</v>
      </c>
      <c r="I59" s="1"/>
      <c r="J59" s="4">
        <f>+H59*E59</f>
        <v>491187.87495813618</v>
      </c>
      <c r="K59" s="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</row>
    <row r="60" spans="1:40">
      <c r="A60" s="9">
        <f t="shared" si="0"/>
        <v>46</v>
      </c>
      <c r="B60" s="3"/>
      <c r="C60" s="97" t="s">
        <v>9</v>
      </c>
      <c r="D60" s="1" t="str">
        <f>"(sum lines "&amp;A56&amp;" - "&amp;A59&amp;")"</f>
        <v>(sum lines 42 - 45)</v>
      </c>
      <c r="E60" s="1">
        <f>SUM(E56:E59)</f>
        <v>12109261.486250002</v>
      </c>
      <c r="F60" s="75"/>
      <c r="G60" s="75"/>
      <c r="H60" s="75"/>
      <c r="I60" s="75"/>
      <c r="J60" s="1">
        <f>SUM(J56:J59)</f>
        <v>2917130.9314709092</v>
      </c>
      <c r="K60" s="75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</row>
    <row r="61" spans="1:40" ht="15.75" thickBot="1">
      <c r="A61" s="9">
        <f t="shared" si="0"/>
        <v>47</v>
      </c>
      <c r="B61" s="3"/>
      <c r="C61" s="3"/>
      <c r="D61" s="1"/>
      <c r="E61" s="223"/>
      <c r="F61" s="1"/>
      <c r="G61" s="1"/>
      <c r="H61" s="1"/>
      <c r="I61" s="1"/>
      <c r="J61" s="224"/>
      <c r="K61" s="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</row>
    <row r="62" spans="1:40" ht="15.75" thickBot="1">
      <c r="A62" s="9">
        <f t="shared" si="0"/>
        <v>48</v>
      </c>
      <c r="B62" s="3"/>
      <c r="C62" s="97" t="s">
        <v>10</v>
      </c>
      <c r="D62" s="1" t="str">
        <f>"(sum lines "&amp;A42&amp;", "&amp;A51&amp;", "&amp;A53&amp;", &amp; "&amp;A60&amp;")"</f>
        <v>(sum lines 28, 37, 39, &amp; 46)</v>
      </c>
      <c r="E62" s="225"/>
      <c r="F62" s="1"/>
      <c r="G62" s="1"/>
      <c r="H62" s="219"/>
      <c r="I62" s="1"/>
      <c r="J62" s="226">
        <f>+J60+J53+J51+J42</f>
        <v>119320784.9092792</v>
      </c>
      <c r="K62" s="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</row>
    <row r="63" spans="1:40" ht="15.75" thickTop="1">
      <c r="A63" s="9"/>
      <c r="B63" s="3"/>
      <c r="C63" s="97"/>
      <c r="D63" s="1"/>
      <c r="E63" s="225"/>
      <c r="F63" s="1"/>
      <c r="G63" s="1"/>
      <c r="H63" s="219"/>
      <c r="I63" s="175" t="s">
        <v>418</v>
      </c>
      <c r="J63" s="227">
        <f>J1</f>
        <v>43982</v>
      </c>
      <c r="K63" s="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</row>
    <row r="64" spans="1:40">
      <c r="A64" s="9"/>
      <c r="B64" s="3"/>
      <c r="C64" s="97"/>
      <c r="D64" s="1"/>
      <c r="E64" s="1"/>
      <c r="F64" s="1"/>
      <c r="G64" s="1"/>
      <c r="I64" s="175" t="str">
        <f>$I$2</f>
        <v>Service Year</v>
      </c>
      <c r="J64" s="75">
        <f>$J$2</f>
        <v>2019</v>
      </c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</row>
    <row r="65" spans="1:40">
      <c r="A65" s="9"/>
      <c r="B65" s="3"/>
      <c r="C65" s="97"/>
      <c r="D65" s="1"/>
      <c r="E65" s="1"/>
      <c r="F65" s="1"/>
      <c r="G65" s="1"/>
      <c r="H65" s="1"/>
      <c r="I65" s="1"/>
      <c r="J65" s="1"/>
      <c r="K65" s="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</row>
    <row r="66" spans="1:40" ht="15.75">
      <c r="A66" s="336" t="s">
        <v>321</v>
      </c>
      <c r="B66" s="336"/>
      <c r="C66" s="336"/>
      <c r="D66" s="336"/>
      <c r="E66" s="336"/>
      <c r="F66" s="336"/>
      <c r="G66" s="336"/>
      <c r="H66" s="336"/>
      <c r="I66" s="336"/>
      <c r="J66" s="336"/>
      <c r="K66" s="336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</row>
    <row r="67" spans="1:40" ht="15.75">
      <c r="A67" s="337" t="s">
        <v>195</v>
      </c>
      <c r="B67" s="337"/>
      <c r="C67" s="337"/>
      <c r="D67" s="337"/>
      <c r="E67" s="337"/>
      <c r="F67" s="337"/>
      <c r="G67" s="337"/>
      <c r="H67" s="337"/>
      <c r="I67" s="337"/>
      <c r="J67" s="337"/>
      <c r="K67" s="337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</row>
    <row r="68" spans="1:40">
      <c r="A68" s="3"/>
      <c r="B68" s="3"/>
      <c r="C68" s="75"/>
      <c r="D68" s="75"/>
      <c r="F68" s="75"/>
      <c r="G68" s="75"/>
      <c r="H68" s="75"/>
      <c r="I68" s="75"/>
      <c r="J68" s="75"/>
      <c r="K68" s="75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</row>
    <row r="69" spans="1:40" ht="15.75">
      <c r="A69" s="338" t="s">
        <v>320</v>
      </c>
      <c r="B69" s="338"/>
      <c r="C69" s="338"/>
      <c r="D69" s="338"/>
      <c r="E69" s="338"/>
      <c r="F69" s="338"/>
      <c r="G69" s="338"/>
      <c r="H69" s="338"/>
      <c r="I69" s="338"/>
      <c r="J69" s="338"/>
      <c r="K69" s="338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</row>
    <row r="70" spans="1:40">
      <c r="A70" s="9"/>
      <c r="B70" s="3"/>
      <c r="C70" s="180" t="s">
        <v>201</v>
      </c>
      <c r="D70" s="180" t="s">
        <v>202</v>
      </c>
      <c r="E70" s="180" t="s">
        <v>203</v>
      </c>
      <c r="F70" s="1" t="s">
        <v>194</v>
      </c>
      <c r="G70" s="1"/>
      <c r="H70" s="212" t="s">
        <v>204</v>
      </c>
      <c r="I70" s="1"/>
      <c r="J70" s="213" t="s">
        <v>205</v>
      </c>
      <c r="K70" s="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</row>
    <row r="71" spans="1:40">
      <c r="A71" s="9"/>
      <c r="B71" s="3"/>
      <c r="C71" s="180"/>
      <c r="D71" s="2"/>
      <c r="E71" s="2"/>
      <c r="F71" s="2"/>
      <c r="G71" s="2"/>
      <c r="H71" s="2"/>
      <c r="I71" s="2"/>
      <c r="J71" s="2"/>
      <c r="K71" s="2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</row>
    <row r="72" spans="1:40" ht="15.75">
      <c r="A72" s="9" t="s">
        <v>196</v>
      </c>
      <c r="B72" s="3"/>
      <c r="C72" s="97"/>
      <c r="D72" s="178" t="s">
        <v>206</v>
      </c>
      <c r="E72" s="1"/>
      <c r="F72" s="1"/>
      <c r="G72" s="182" t="str">
        <f>+G10</f>
        <v xml:space="preserve">      Allocator</v>
      </c>
      <c r="H72" s="9"/>
      <c r="I72" s="1"/>
      <c r="J72" s="177" t="s">
        <v>207</v>
      </c>
      <c r="K72" s="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</row>
    <row r="73" spans="1:40" ht="16.5" thickBot="1">
      <c r="A73" s="184" t="s">
        <v>197</v>
      </c>
      <c r="B73" s="3"/>
      <c r="C73" s="97"/>
      <c r="D73" s="181" t="s">
        <v>208</v>
      </c>
      <c r="E73" s="177" t="s">
        <v>209</v>
      </c>
      <c r="F73" s="182"/>
      <c r="G73" s="215" t="str">
        <f>+G11</f>
        <v xml:space="preserve">        (page 4)</v>
      </c>
      <c r="H73" s="3"/>
      <c r="I73" s="182"/>
      <c r="J73" s="9" t="s">
        <v>210</v>
      </c>
      <c r="K73" s="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</row>
    <row r="74" spans="1:40" ht="15.75">
      <c r="A74" s="3"/>
      <c r="B74" s="3"/>
      <c r="C74" s="97"/>
      <c r="D74" s="1"/>
      <c r="E74" s="228"/>
      <c r="F74" s="229"/>
      <c r="G74" s="230"/>
      <c r="H74" s="3"/>
      <c r="I74" s="229"/>
      <c r="J74" s="228"/>
      <c r="K74" s="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</row>
    <row r="75" spans="1:40">
      <c r="A75" s="9"/>
      <c r="B75" s="3"/>
      <c r="C75" s="97" t="s">
        <v>232</v>
      </c>
      <c r="D75" s="1"/>
      <c r="E75" s="1"/>
      <c r="F75" s="1"/>
      <c r="G75" s="1"/>
      <c r="H75" s="1"/>
      <c r="I75" s="1"/>
      <c r="J75" s="1"/>
      <c r="K75" s="1"/>
      <c r="L75" s="211"/>
      <c r="M75" s="211"/>
      <c r="N75" s="187"/>
      <c r="O75" s="187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</row>
    <row r="76" spans="1:40">
      <c r="A76" s="9">
        <f>+A62+1</f>
        <v>49</v>
      </c>
      <c r="B76" s="3"/>
      <c r="C76" s="97" t="s">
        <v>233</v>
      </c>
      <c r="D76" s="1" t="s">
        <v>138</v>
      </c>
      <c r="E76" s="1">
        <v>29305935.389999997</v>
      </c>
      <c r="F76" s="1"/>
      <c r="G76" s="1" t="s">
        <v>200</v>
      </c>
      <c r="H76" s="217">
        <f>+J143</f>
        <v>0.89197800000000005</v>
      </c>
      <c r="I76" s="1"/>
      <c r="J76" s="1">
        <f>+H76*E76</f>
        <v>26140249.637301419</v>
      </c>
      <c r="K76" s="75"/>
      <c r="L76" s="211"/>
      <c r="M76" s="211"/>
      <c r="N76" s="187"/>
      <c r="O76" s="187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</row>
    <row r="77" spans="1:40">
      <c r="A77" s="9">
        <f>+A76+1</f>
        <v>50</v>
      </c>
      <c r="B77" s="3"/>
      <c r="C77" s="97" t="s">
        <v>49</v>
      </c>
      <c r="D77" s="1" t="s">
        <v>435</v>
      </c>
      <c r="E77" s="1">
        <v>26367084.259999998</v>
      </c>
      <c r="F77" s="1"/>
      <c r="G77" s="1" t="str">
        <f>+G76</f>
        <v>TP</v>
      </c>
      <c r="H77" s="217">
        <f>+H76</f>
        <v>0.89197800000000005</v>
      </c>
      <c r="I77" s="1"/>
      <c r="J77" s="1">
        <f t="shared" ref="J77:J84" si="3">+H77*E77</f>
        <v>23518859.084066279</v>
      </c>
      <c r="K77" s="75"/>
      <c r="L77" s="231"/>
      <c r="M77" s="211"/>
      <c r="N77" s="187"/>
      <c r="O77" s="187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</row>
    <row r="78" spans="1:40">
      <c r="A78" s="9">
        <f t="shared" ref="A78:A119" si="4">+A77+1</f>
        <v>51</v>
      </c>
      <c r="B78" s="3"/>
      <c r="C78" s="97" t="s">
        <v>234</v>
      </c>
      <c r="D78" s="1" t="s">
        <v>125</v>
      </c>
      <c r="E78" s="1">
        <v>31150028.750000011</v>
      </c>
      <c r="F78" s="1"/>
      <c r="G78" s="1" t="s">
        <v>218</v>
      </c>
      <c r="H78" s="217">
        <f>+H28</f>
        <v>0.1196610123861062</v>
      </c>
      <c r="I78" s="1"/>
      <c r="J78" s="1">
        <f t="shared" si="3"/>
        <v>3727443.9760813154</v>
      </c>
      <c r="K78" s="1"/>
      <c r="L78" s="231"/>
      <c r="M78" s="211"/>
      <c r="N78" s="187"/>
      <c r="O78" s="187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</row>
    <row r="79" spans="1:40">
      <c r="A79" s="9">
        <f t="shared" si="4"/>
        <v>52</v>
      </c>
      <c r="B79" s="3"/>
      <c r="C79" s="97" t="s">
        <v>46</v>
      </c>
      <c r="D79" s="1" t="s">
        <v>135</v>
      </c>
      <c r="E79" s="1">
        <v>296082</v>
      </c>
      <c r="F79" s="1"/>
      <c r="G79" s="1" t="s">
        <v>218</v>
      </c>
      <c r="H79" s="217">
        <v>1</v>
      </c>
      <c r="I79" s="1"/>
      <c r="J79" s="1">
        <f t="shared" si="3"/>
        <v>296082</v>
      </c>
      <c r="K79" s="1"/>
      <c r="L79" s="231"/>
      <c r="M79" s="211"/>
      <c r="N79" s="187"/>
      <c r="O79" s="187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</row>
    <row r="80" spans="1:40">
      <c r="A80" s="9">
        <f t="shared" si="4"/>
        <v>53</v>
      </c>
      <c r="B80" s="3"/>
      <c r="C80" s="97" t="s">
        <v>293</v>
      </c>
      <c r="D80" s="1" t="s">
        <v>168</v>
      </c>
      <c r="E80" s="1">
        <v>227200</v>
      </c>
      <c r="F80" s="1"/>
      <c r="G80" s="1" t="str">
        <f>G78</f>
        <v>W/S</v>
      </c>
      <c r="H80" s="217">
        <f>H78</f>
        <v>0.1196610123861062</v>
      </c>
      <c r="I80" s="1"/>
      <c r="J80" s="1">
        <f t="shared" si="3"/>
        <v>27186.982014123329</v>
      </c>
      <c r="K80" s="1"/>
      <c r="L80" s="10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</row>
    <row r="81" spans="1:40">
      <c r="A81" s="9">
        <f t="shared" si="4"/>
        <v>54</v>
      </c>
      <c r="B81" s="3"/>
      <c r="C81" s="97" t="s">
        <v>294</v>
      </c>
      <c r="D81" s="1" t="s">
        <v>169</v>
      </c>
      <c r="E81" s="1">
        <v>179175.95999999996</v>
      </c>
      <c r="F81" s="1"/>
      <c r="G81" s="1" t="str">
        <f>+G80</f>
        <v>W/S</v>
      </c>
      <c r="H81" s="217">
        <f>+H80</f>
        <v>0.1196610123861062</v>
      </c>
      <c r="I81" s="1"/>
      <c r="J81" s="1">
        <f t="shared" si="3"/>
        <v>21440.376768852464</v>
      </c>
      <c r="K81" s="1"/>
      <c r="L81" s="10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</row>
    <row r="82" spans="1:40">
      <c r="A82" s="9">
        <f t="shared" si="4"/>
        <v>55</v>
      </c>
      <c r="B82" s="3"/>
      <c r="C82" s="97" t="s">
        <v>48</v>
      </c>
      <c r="D82" s="1"/>
      <c r="E82" s="1">
        <v>1516466.03</v>
      </c>
      <c r="F82" s="1"/>
      <c r="G82" s="1" t="str">
        <f>G78</f>
        <v>W/S</v>
      </c>
      <c r="H82" s="217">
        <f>H78</f>
        <v>0.1196610123861062</v>
      </c>
      <c r="I82" s="1"/>
      <c r="J82" s="1">
        <f t="shared" si="3"/>
        <v>181461.86039893929</v>
      </c>
      <c r="K82" s="1"/>
      <c r="L82" s="10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</row>
    <row r="83" spans="1:40">
      <c r="A83" s="9">
        <f t="shared" si="4"/>
        <v>56</v>
      </c>
      <c r="B83" s="3"/>
      <c r="C83" s="97" t="s">
        <v>47</v>
      </c>
      <c r="D83" s="1"/>
      <c r="E83" s="1"/>
      <c r="F83" s="1"/>
      <c r="G83" s="232" t="str">
        <f>+G76</f>
        <v>TP</v>
      </c>
      <c r="H83" s="217">
        <f>+H76</f>
        <v>0.89197800000000005</v>
      </c>
      <c r="I83" s="1"/>
      <c r="J83" s="1">
        <f>+H83*E83</f>
        <v>0</v>
      </c>
      <c r="K83" s="1"/>
      <c r="L83" s="10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</row>
    <row r="84" spans="1:40" ht="15.75" thickBot="1">
      <c r="A84" s="9">
        <f t="shared" si="4"/>
        <v>57</v>
      </c>
      <c r="B84" s="3"/>
      <c r="C84" s="97" t="s">
        <v>219</v>
      </c>
      <c r="D84" s="1" t="str">
        <f>+D31</f>
        <v>356.1</v>
      </c>
      <c r="E84" s="4">
        <v>0</v>
      </c>
      <c r="F84" s="1"/>
      <c r="G84" s="1" t="s">
        <v>251</v>
      </c>
      <c r="H84" s="217">
        <f>+H31</f>
        <v>0</v>
      </c>
      <c r="I84" s="1"/>
      <c r="J84" s="4">
        <f t="shared" si="3"/>
        <v>0</v>
      </c>
      <c r="K84" s="1"/>
      <c r="L84" s="10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</row>
    <row r="85" spans="1:40">
      <c r="A85" s="9">
        <f t="shared" si="4"/>
        <v>58</v>
      </c>
      <c r="B85" s="3"/>
      <c r="C85" s="97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"/>
      <c r="E85" s="1">
        <f>+E76-E77+E78-E79-E82+E84+E83+E80-E81</f>
        <v>32324355.890000008</v>
      </c>
      <c r="F85" s="1"/>
      <c r="G85" s="1"/>
      <c r="H85" s="1"/>
      <c r="I85" s="1"/>
      <c r="J85" s="1">
        <f>+J76-J77+J78-J79-J82+J84+J83+J80-J81</f>
        <v>5877037.274162787</v>
      </c>
      <c r="K85" s="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</row>
    <row r="86" spans="1:40">
      <c r="A86" s="9">
        <f t="shared" si="4"/>
        <v>59</v>
      </c>
      <c r="B86" s="3"/>
      <c r="C86" s="3"/>
      <c r="D86" s="1"/>
      <c r="E86" s="3"/>
      <c r="F86" s="1"/>
      <c r="G86" s="1"/>
      <c r="H86" s="1"/>
      <c r="I86" s="1"/>
      <c r="J86" s="3"/>
      <c r="K86" s="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</row>
    <row r="87" spans="1:40">
      <c r="A87" s="9">
        <f t="shared" si="4"/>
        <v>60</v>
      </c>
      <c r="B87" s="3"/>
      <c r="C87" s="97" t="s">
        <v>173</v>
      </c>
      <c r="D87" s="1"/>
      <c r="E87" s="1"/>
      <c r="F87" s="1"/>
      <c r="G87" s="1"/>
      <c r="H87" s="1"/>
      <c r="I87" s="1"/>
      <c r="J87" s="1"/>
      <c r="K87" s="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</row>
    <row r="88" spans="1:40">
      <c r="A88" s="9">
        <f t="shared" si="4"/>
        <v>61</v>
      </c>
      <c r="B88" s="3"/>
      <c r="C88" s="97" t="str">
        <f>+C16</f>
        <v xml:space="preserve">  Transmission</v>
      </c>
      <c r="D88" s="1" t="s">
        <v>436</v>
      </c>
      <c r="E88" s="1">
        <f>E16*'BHP WP5 Depreciation Rates'!H17</f>
        <v>5004387.860274463</v>
      </c>
      <c r="F88" s="1"/>
      <c r="G88" s="1" t="s">
        <v>200</v>
      </c>
      <c r="H88" s="217">
        <f>+J143</f>
        <v>0.89197800000000005</v>
      </c>
      <c r="I88" s="1"/>
      <c r="J88" s="1">
        <f>+H88*E88</f>
        <v>4463803.8748318953</v>
      </c>
      <c r="K88" s="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</row>
    <row r="89" spans="1:40">
      <c r="A89" s="9">
        <f t="shared" si="4"/>
        <v>62</v>
      </c>
      <c r="B89" s="3"/>
      <c r="C89" s="97" t="s">
        <v>295</v>
      </c>
      <c r="D89" s="1" t="s">
        <v>437</v>
      </c>
      <c r="E89" s="1">
        <f>(E18+E20)*'BHP WP5 Depreciation Rates'!H31</f>
        <v>3571507.1494316929</v>
      </c>
      <c r="F89" s="1"/>
      <c r="G89" s="1" t="s">
        <v>218</v>
      </c>
      <c r="H89" s="217">
        <f>H78</f>
        <v>0.1196610123861062</v>
      </c>
      <c r="I89" s="1"/>
      <c r="J89" s="1">
        <f>+H89*E89</f>
        <v>427370.16124521266</v>
      </c>
      <c r="K89" s="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</row>
    <row r="90" spans="1:40" ht="15.75" thickBot="1">
      <c r="A90" s="9">
        <f t="shared" si="4"/>
        <v>63</v>
      </c>
      <c r="B90" s="3"/>
      <c r="C90" s="97" t="str">
        <f>+C84</f>
        <v xml:space="preserve">  Common</v>
      </c>
      <c r="D90" s="1" t="s">
        <v>126</v>
      </c>
      <c r="E90" s="4">
        <v>0</v>
      </c>
      <c r="F90" s="1"/>
      <c r="G90" s="1" t="s">
        <v>251</v>
      </c>
      <c r="H90" s="217">
        <f>+H84</f>
        <v>0</v>
      </c>
      <c r="I90" s="1"/>
      <c r="J90" s="4">
        <f>+H90*E90</f>
        <v>0</v>
      </c>
      <c r="K90" s="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</row>
    <row r="91" spans="1:40">
      <c r="A91" s="9">
        <f t="shared" si="4"/>
        <v>64</v>
      </c>
      <c r="B91" s="3"/>
      <c r="C91" s="97" t="str">
        <f>"TOTAL DEPRECIATION (Sum lines "&amp;A88&amp;" - "&amp;A90&amp;")"</f>
        <v>TOTAL DEPRECIATION (Sum lines 61 - 63)</v>
      </c>
      <c r="D91" s="1"/>
      <c r="E91" s="1">
        <f>SUM(E88:E90)</f>
        <v>8575895.0097061563</v>
      </c>
      <c r="F91" s="1"/>
      <c r="G91" s="1"/>
      <c r="H91" s="1"/>
      <c r="I91" s="1"/>
      <c r="J91" s="1">
        <f>SUM(J88:J90)</f>
        <v>4891174.0360771082</v>
      </c>
      <c r="K91" s="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</row>
    <row r="92" spans="1:40">
      <c r="A92" s="9">
        <f t="shared" si="4"/>
        <v>65</v>
      </c>
      <c r="B92" s="3"/>
      <c r="C92" s="97"/>
      <c r="D92" s="1"/>
      <c r="E92" s="1"/>
      <c r="F92" s="1"/>
      <c r="G92" s="1"/>
      <c r="H92" s="1"/>
      <c r="I92" s="1"/>
      <c r="J92" s="1"/>
      <c r="K92" s="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</row>
    <row r="93" spans="1:40">
      <c r="A93" s="9">
        <f t="shared" si="4"/>
        <v>66</v>
      </c>
      <c r="B93" s="3"/>
      <c r="C93" s="97" t="s">
        <v>89</v>
      </c>
      <c r="D93" s="3"/>
      <c r="E93" s="1"/>
      <c r="F93" s="1"/>
      <c r="G93" s="1"/>
      <c r="H93" s="1"/>
      <c r="I93" s="1"/>
      <c r="J93" s="1"/>
      <c r="K93" s="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</row>
    <row r="94" spans="1:40">
      <c r="A94" s="9">
        <f t="shared" si="4"/>
        <v>67</v>
      </c>
      <c r="B94" s="3"/>
      <c r="C94" s="97" t="s">
        <v>235</v>
      </c>
      <c r="D94" s="3"/>
      <c r="E94" s="94"/>
      <c r="F94" s="1"/>
      <c r="G94" s="1"/>
      <c r="H94" s="3"/>
      <c r="I94" s="1"/>
      <c r="J94" s="3"/>
      <c r="K94" s="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</row>
    <row r="95" spans="1:40">
      <c r="A95" s="9">
        <f t="shared" si="4"/>
        <v>68</v>
      </c>
      <c r="B95" s="3"/>
      <c r="C95" s="97" t="s">
        <v>236</v>
      </c>
      <c r="D95" s="1" t="s">
        <v>438</v>
      </c>
      <c r="E95" s="1">
        <f>21230+827762+41051</f>
        <v>890043</v>
      </c>
      <c r="F95" s="1"/>
      <c r="G95" s="1" t="s">
        <v>218</v>
      </c>
      <c r="H95" s="233">
        <f>+J175</f>
        <v>0.1196610123861062</v>
      </c>
      <c r="I95" s="1"/>
      <c r="J95" s="1">
        <f>+H95*E95</f>
        <v>106503.44644716712</v>
      </c>
      <c r="K95" s="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</row>
    <row r="96" spans="1:40">
      <c r="A96" s="9">
        <f t="shared" si="4"/>
        <v>69</v>
      </c>
      <c r="B96" s="3"/>
      <c r="C96" s="97" t="s">
        <v>237</v>
      </c>
      <c r="D96" s="1" t="s">
        <v>75</v>
      </c>
      <c r="E96" s="1">
        <v>0</v>
      </c>
      <c r="F96" s="1"/>
      <c r="G96" s="1" t="str">
        <f>+G95</f>
        <v>W/S</v>
      </c>
      <c r="H96" s="233">
        <f>+H95</f>
        <v>0.1196610123861062</v>
      </c>
      <c r="I96" s="1"/>
      <c r="J96" s="1">
        <f>+H96*E96</f>
        <v>0</v>
      </c>
      <c r="K96" s="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</row>
    <row r="97" spans="1:40">
      <c r="A97" s="9">
        <f t="shared" si="4"/>
        <v>70</v>
      </c>
      <c r="B97" s="3"/>
      <c r="C97" s="97" t="s">
        <v>238</v>
      </c>
      <c r="D97" s="1" t="s">
        <v>194</v>
      </c>
      <c r="E97" s="1"/>
      <c r="F97" s="1"/>
      <c r="G97" s="1"/>
      <c r="H97" s="3"/>
      <c r="I97" s="1"/>
      <c r="J97" s="3"/>
      <c r="K97" s="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</row>
    <row r="98" spans="1:40">
      <c r="A98" s="9">
        <f t="shared" si="4"/>
        <v>71</v>
      </c>
      <c r="B98" s="3"/>
      <c r="C98" s="97" t="s">
        <v>239</v>
      </c>
      <c r="D98" s="1" t="s">
        <v>439</v>
      </c>
      <c r="E98" s="1">
        <f>8184184-'WP6 Rate Base'!AB28</f>
        <v>7539184</v>
      </c>
      <c r="F98" s="1"/>
      <c r="G98" s="1" t="s">
        <v>231</v>
      </c>
      <c r="H98" s="233">
        <f>+H22</f>
        <v>0.15569886328089447</v>
      </c>
      <c r="I98" s="1"/>
      <c r="J98" s="1">
        <f>+H98*E98</f>
        <v>1173842.378865507</v>
      </c>
      <c r="K98" s="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</row>
    <row r="99" spans="1:40">
      <c r="A99" s="9">
        <f t="shared" si="4"/>
        <v>72</v>
      </c>
      <c r="B99" s="3"/>
      <c r="C99" s="97" t="s">
        <v>240</v>
      </c>
      <c r="D99" s="1" t="s">
        <v>75</v>
      </c>
      <c r="E99" s="1">
        <v>0</v>
      </c>
      <c r="F99" s="1"/>
      <c r="G99" s="1" t="str">
        <f>+G45</f>
        <v>NA</v>
      </c>
      <c r="H99" s="234" t="s">
        <v>290</v>
      </c>
      <c r="I99" s="1"/>
      <c r="J99" s="1">
        <v>0</v>
      </c>
      <c r="K99" s="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</row>
    <row r="100" spans="1:40" ht="15.75" thickBot="1">
      <c r="A100" s="9">
        <f t="shared" si="4"/>
        <v>73</v>
      </c>
      <c r="B100" s="3"/>
      <c r="C100" s="97" t="s">
        <v>241</v>
      </c>
      <c r="D100" s="1" t="str">
        <f>+D99</f>
        <v>263.i</v>
      </c>
      <c r="E100" s="4">
        <v>0</v>
      </c>
      <c r="F100" s="1"/>
      <c r="G100" s="1" t="str">
        <f>+G98</f>
        <v>GP</v>
      </c>
      <c r="H100" s="233">
        <f>+H98</f>
        <v>0.15569886328089447</v>
      </c>
      <c r="I100" s="1"/>
      <c r="J100" s="4">
        <f>+H100*E100</f>
        <v>0</v>
      </c>
      <c r="K100" s="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</row>
    <row r="101" spans="1:40">
      <c r="A101" s="9">
        <f t="shared" si="4"/>
        <v>74</v>
      </c>
      <c r="B101" s="3"/>
      <c r="C101" s="97" t="str">
        <f>"TOTAL OTHER TAXES  (sum lines "&amp;A95&amp;" - "&amp;A100&amp;")"</f>
        <v>TOTAL OTHER TAXES  (sum lines 68 - 73)</v>
      </c>
      <c r="D101" s="1"/>
      <c r="E101" s="1">
        <f>SUM(E95:E100)</f>
        <v>8429227</v>
      </c>
      <c r="F101" s="1"/>
      <c r="G101" s="1"/>
      <c r="H101" s="233"/>
      <c r="I101" s="1"/>
      <c r="J101" s="1">
        <f>SUM(J95:J100)</f>
        <v>1280345.825312674</v>
      </c>
      <c r="K101" s="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</row>
    <row r="102" spans="1:40">
      <c r="A102" s="9">
        <f t="shared" si="4"/>
        <v>75</v>
      </c>
      <c r="B102" s="3"/>
      <c r="C102" s="97"/>
      <c r="D102" s="1"/>
      <c r="E102" s="1"/>
      <c r="F102" s="1"/>
      <c r="G102" s="1"/>
      <c r="H102" s="233"/>
      <c r="I102" s="1"/>
      <c r="J102" s="1"/>
      <c r="K102" s="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  <c r="AB102" s="211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211"/>
      <c r="AN102" s="211"/>
    </row>
    <row r="103" spans="1:40">
      <c r="A103" s="9">
        <f t="shared" si="4"/>
        <v>76</v>
      </c>
      <c r="B103" s="3"/>
      <c r="C103" s="97"/>
      <c r="D103" s="1"/>
      <c r="E103" s="1"/>
      <c r="F103" s="1"/>
      <c r="G103" s="1"/>
      <c r="H103" s="233"/>
      <c r="I103" s="1"/>
      <c r="J103" s="1"/>
      <c r="K103" s="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211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1"/>
    </row>
    <row r="104" spans="1:40">
      <c r="A104" s="9">
        <f t="shared" si="4"/>
        <v>77</v>
      </c>
      <c r="B104" s="3"/>
      <c r="C104" s="97" t="s">
        <v>242</v>
      </c>
      <c r="D104" s="1" t="s">
        <v>88</v>
      </c>
      <c r="E104" s="1"/>
      <c r="F104" s="1"/>
      <c r="G104" s="3"/>
      <c r="H104" s="235"/>
      <c r="I104" s="1"/>
      <c r="J104" s="3"/>
      <c r="K104" s="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</row>
    <row r="105" spans="1:40">
      <c r="A105" s="9">
        <f t="shared" si="4"/>
        <v>78</v>
      </c>
      <c r="B105" s="3"/>
      <c r="C105" s="236" t="s">
        <v>286</v>
      </c>
      <c r="D105" s="1"/>
      <c r="E105" s="237">
        <f>IF(E232&gt;0,1-(((1-E233)*(1-E232))/(1-E233*E232*E234)),0)</f>
        <v>0.20999999999999996</v>
      </c>
      <c r="F105" s="1"/>
      <c r="G105" s="3"/>
      <c r="H105" s="235"/>
      <c r="I105" s="1"/>
      <c r="J105" s="3"/>
      <c r="K105" s="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</row>
    <row r="106" spans="1:40">
      <c r="A106" s="9">
        <f t="shared" si="4"/>
        <v>79</v>
      </c>
      <c r="B106" s="3"/>
      <c r="C106" s="3" t="s">
        <v>287</v>
      </c>
      <c r="D106" s="1"/>
      <c r="E106" s="237">
        <f>IF(J199&gt;0,(E105/(1-E105))*(1-J196/J199),0)</f>
        <v>0.18685697932720938</v>
      </c>
      <c r="F106" s="1"/>
      <c r="G106" s="3"/>
      <c r="H106" s="235"/>
      <c r="I106" s="1"/>
      <c r="J106" s="3"/>
      <c r="K106" s="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</row>
    <row r="107" spans="1:40">
      <c r="A107" s="9">
        <f t="shared" si="4"/>
        <v>80</v>
      </c>
      <c r="B107" s="3"/>
      <c r="C107" s="97" t="str">
        <f>"       where WCLTD=(line "&amp;A196&amp;") and R= (line "&amp;A199&amp;")"</f>
        <v xml:space="preserve">       where WCLTD=(line 154) and R= (line 157)</v>
      </c>
      <c r="D107" s="1"/>
      <c r="E107" s="1"/>
      <c r="F107" s="1"/>
      <c r="G107" s="3"/>
      <c r="H107" s="235"/>
      <c r="I107" s="1"/>
      <c r="J107" s="3"/>
      <c r="K107" s="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</row>
    <row r="108" spans="1:40">
      <c r="A108" s="9">
        <f t="shared" si="4"/>
        <v>81</v>
      </c>
      <c r="B108" s="3"/>
      <c r="C108" s="97" t="s">
        <v>90</v>
      </c>
      <c r="D108" s="1"/>
      <c r="E108" s="1"/>
      <c r="F108" s="1"/>
      <c r="G108" s="3"/>
      <c r="H108" s="235"/>
      <c r="I108" s="1"/>
      <c r="J108" s="3"/>
      <c r="K108" s="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</row>
    <row r="109" spans="1:40">
      <c r="A109" s="9">
        <f t="shared" si="4"/>
        <v>82</v>
      </c>
      <c r="B109" s="3"/>
      <c r="C109" s="236"/>
      <c r="D109" s="1"/>
      <c r="E109" s="238"/>
      <c r="F109" s="1"/>
      <c r="G109" s="3"/>
      <c r="H109" s="235"/>
      <c r="I109" s="1"/>
      <c r="J109" s="3"/>
      <c r="K109" s="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</row>
    <row r="110" spans="1:40">
      <c r="A110" s="9">
        <f t="shared" si="4"/>
        <v>83</v>
      </c>
      <c r="B110" s="3"/>
      <c r="C110" s="239" t="s">
        <v>276</v>
      </c>
      <c r="D110" s="3" t="str">
        <f>"(line "&amp;A106&amp;" * line "&amp;A113&amp;")"</f>
        <v>(line 79 * line 86)</v>
      </c>
      <c r="E110" s="86"/>
      <c r="F110" s="1"/>
      <c r="G110" s="1" t="s">
        <v>194</v>
      </c>
      <c r="H110" s="233" t="s">
        <v>194</v>
      </c>
      <c r="I110" s="1"/>
      <c r="J110" s="1">
        <f>E106*J112</f>
        <v>1952571.3658141738</v>
      </c>
      <c r="K110" s="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1"/>
    </row>
    <row r="111" spans="1:40">
      <c r="A111" s="9">
        <f t="shared" si="4"/>
        <v>84</v>
      </c>
      <c r="B111" s="3"/>
      <c r="C111" s="240"/>
      <c r="D111" s="241"/>
      <c r="E111" s="1"/>
      <c r="F111" s="1"/>
      <c r="G111" s="1"/>
      <c r="H111" s="233"/>
      <c r="I111" s="1"/>
      <c r="J111" s="1"/>
      <c r="K111" s="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</row>
    <row r="112" spans="1:40">
      <c r="A112" s="9">
        <f t="shared" si="4"/>
        <v>85</v>
      </c>
      <c r="B112" s="3"/>
      <c r="C112" s="97" t="s">
        <v>243</v>
      </c>
      <c r="D112" s="219"/>
      <c r="E112" s="1"/>
      <c r="F112" s="1"/>
      <c r="G112" s="1" t="s">
        <v>91</v>
      </c>
      <c r="H112" s="235"/>
      <c r="I112" s="1"/>
      <c r="J112" s="1">
        <f>+$J199*J62</f>
        <v>10449550.093577094</v>
      </c>
      <c r="K112" s="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</row>
    <row r="113" spans="1:40" ht="17.25" customHeight="1">
      <c r="A113" s="9">
        <f t="shared" si="4"/>
        <v>86</v>
      </c>
      <c r="B113" s="3"/>
      <c r="C113" s="239" t="str">
        <f>"  [ Rate Base (line "&amp;A62&amp;") * R (line "&amp;A199&amp;")]"</f>
        <v xml:space="preserve">  [ Rate Base (line 48) * R (line 157)]</v>
      </c>
      <c r="D113" s="3"/>
      <c r="E113" s="1"/>
      <c r="F113" s="1"/>
      <c r="G113" s="1"/>
      <c r="H113" s="235"/>
      <c r="I113" s="1"/>
      <c r="J113" s="1"/>
      <c r="K113" s="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</row>
    <row r="114" spans="1:40">
      <c r="A114" s="9">
        <f t="shared" si="4"/>
        <v>87</v>
      </c>
      <c r="B114" s="3"/>
      <c r="C114" s="97"/>
      <c r="D114" s="3"/>
      <c r="E114" s="225"/>
      <c r="F114" s="1"/>
      <c r="G114" s="1"/>
      <c r="H114" s="235"/>
      <c r="I114" s="1"/>
      <c r="J114" s="225"/>
      <c r="K114" s="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11"/>
      <c r="AG114" s="211"/>
      <c r="AH114" s="211"/>
      <c r="AI114" s="211"/>
      <c r="AJ114" s="211"/>
      <c r="AK114" s="211"/>
      <c r="AL114" s="211"/>
      <c r="AM114" s="211"/>
      <c r="AN114" s="211"/>
    </row>
    <row r="115" spans="1:40" ht="15.75" thickBot="1">
      <c r="A115" s="9">
        <f t="shared" si="4"/>
        <v>88</v>
      </c>
      <c r="B115" s="3"/>
      <c r="C115" s="97" t="str">
        <f>"REVENUE REQUIREMENT  (sum lines "&amp;A85&amp;", "&amp;A91&amp;", "&amp;A101&amp;", "&amp;A110&amp;", "&amp;A112&amp;")"</f>
        <v>REVENUE REQUIREMENT  (sum lines 58, 64, 74, 83, 85)</v>
      </c>
      <c r="D115" s="1"/>
      <c r="E115" s="242">
        <f>E110+E101+E91+E85</f>
        <v>49329477.899706163</v>
      </c>
      <c r="F115" s="1"/>
      <c r="G115" s="1"/>
      <c r="H115" s="1"/>
      <c r="I115" s="1"/>
      <c r="J115" s="95">
        <f>J110+J101+J91+J85+J112</f>
        <v>24450678.594943836</v>
      </c>
      <c r="K115" s="75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211"/>
      <c r="AN115" s="211"/>
    </row>
    <row r="116" spans="1:40" ht="15.75" thickTop="1">
      <c r="A116" s="9">
        <f t="shared" si="4"/>
        <v>89</v>
      </c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211"/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1"/>
      <c r="AL116" s="211"/>
      <c r="AM116" s="211"/>
      <c r="AN116" s="211"/>
    </row>
    <row r="117" spans="1:40">
      <c r="A117" s="9">
        <f t="shared" si="4"/>
        <v>90</v>
      </c>
      <c r="B117" s="3"/>
      <c r="C117" s="97" t="s">
        <v>434</v>
      </c>
      <c r="D117" s="3"/>
      <c r="E117" s="3"/>
      <c r="F117" s="3"/>
      <c r="G117" s="3"/>
      <c r="H117" s="3"/>
      <c r="I117" s="3"/>
      <c r="J117" s="222">
        <v>23216733.332607184</v>
      </c>
      <c r="K117" s="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</row>
    <row r="118" spans="1:40">
      <c r="A118" s="9">
        <f t="shared" si="4"/>
        <v>91</v>
      </c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211"/>
      <c r="AN118" s="211"/>
    </row>
    <row r="119" spans="1:40" ht="15.75" thickBot="1">
      <c r="A119" s="9">
        <f t="shared" si="4"/>
        <v>92</v>
      </c>
      <c r="B119" s="3"/>
      <c r="C119" s="3" t="str">
        <f>"TRUE-UP AMOUNT TO BE (REFUNDED)/PAID (line "&amp;A115&amp;" - line "&amp;A117&amp;")"</f>
        <v>TRUE-UP AMOUNT TO BE (REFUNDED)/PAID (line 88 - line 90)</v>
      </c>
      <c r="D119" s="3"/>
      <c r="E119" s="3"/>
      <c r="F119" s="3"/>
      <c r="G119" s="3"/>
      <c r="H119" s="3"/>
      <c r="I119" s="3"/>
      <c r="J119" s="242">
        <f>+J115-J117</f>
        <v>1233945.2623366527</v>
      </c>
      <c r="K119" s="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</row>
    <row r="120" spans="1:40" ht="15.75" thickTop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</row>
    <row r="121" spans="1:40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</row>
    <row r="122" spans="1:40">
      <c r="A122" s="9"/>
      <c r="B122" s="3"/>
      <c r="C122" s="3"/>
      <c r="D122" s="3"/>
      <c r="E122" s="3"/>
      <c r="F122" s="3"/>
      <c r="G122" s="3"/>
      <c r="H122" s="3"/>
      <c r="I122" s="175" t="s">
        <v>418</v>
      </c>
      <c r="J122" s="243">
        <f>J1</f>
        <v>43982</v>
      </c>
      <c r="K122" s="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</row>
    <row r="123" spans="1:40">
      <c r="A123" s="9"/>
      <c r="B123" s="3"/>
      <c r="C123" s="3"/>
      <c r="D123" s="3"/>
      <c r="E123" s="3"/>
      <c r="F123" s="3"/>
      <c r="G123" s="3"/>
      <c r="I123" s="175" t="str">
        <f>$I$2</f>
        <v>Service Year</v>
      </c>
      <c r="J123" s="75">
        <f>$J$2</f>
        <v>2019</v>
      </c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1"/>
      <c r="AL123" s="211"/>
      <c r="AM123" s="211"/>
      <c r="AN123" s="211"/>
    </row>
    <row r="124" spans="1:40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211"/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1"/>
      <c r="AL124" s="211"/>
      <c r="AM124" s="211"/>
      <c r="AN124" s="211"/>
    </row>
    <row r="125" spans="1:40" ht="15.75">
      <c r="A125" s="336" t="s">
        <v>321</v>
      </c>
      <c r="B125" s="336"/>
      <c r="C125" s="336"/>
      <c r="D125" s="336"/>
      <c r="E125" s="336"/>
      <c r="F125" s="336"/>
      <c r="G125" s="336"/>
      <c r="H125" s="336"/>
      <c r="I125" s="336"/>
      <c r="J125" s="336"/>
      <c r="K125" s="336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1"/>
      <c r="AL125" s="211"/>
      <c r="AM125" s="211"/>
      <c r="AN125" s="211"/>
    </row>
    <row r="126" spans="1:40" ht="15.75">
      <c r="A126" s="337" t="s">
        <v>195</v>
      </c>
      <c r="B126" s="337"/>
      <c r="C126" s="337"/>
      <c r="D126" s="337"/>
      <c r="E126" s="337"/>
      <c r="F126" s="337"/>
      <c r="G126" s="337"/>
      <c r="H126" s="337"/>
      <c r="I126" s="337"/>
      <c r="J126" s="337"/>
      <c r="K126" s="337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1"/>
      <c r="AL126" s="211"/>
      <c r="AM126" s="211"/>
      <c r="AN126" s="211"/>
    </row>
    <row r="127" spans="1:40">
      <c r="A127" s="3"/>
      <c r="B127" s="3"/>
      <c r="C127" s="75"/>
      <c r="D127" s="75"/>
      <c r="F127" s="75"/>
      <c r="G127" s="75"/>
      <c r="H127" s="75"/>
      <c r="I127" s="75"/>
      <c r="J127" s="75"/>
      <c r="K127" s="75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211"/>
      <c r="AL127" s="211"/>
      <c r="AM127" s="211"/>
      <c r="AN127" s="211"/>
    </row>
    <row r="128" spans="1:40" ht="15.75">
      <c r="A128" s="338" t="s">
        <v>320</v>
      </c>
      <c r="B128" s="338"/>
      <c r="C128" s="338"/>
      <c r="D128" s="338"/>
      <c r="E128" s="338"/>
      <c r="F128" s="338"/>
      <c r="G128" s="338"/>
      <c r="H128" s="338"/>
      <c r="I128" s="338"/>
      <c r="J128" s="338"/>
      <c r="K128" s="338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B128" s="211"/>
      <c r="AC128" s="211"/>
      <c r="AD128" s="211"/>
      <c r="AE128" s="211"/>
      <c r="AF128" s="211"/>
      <c r="AG128" s="211"/>
      <c r="AH128" s="211"/>
      <c r="AI128" s="211"/>
      <c r="AJ128" s="211"/>
      <c r="AK128" s="211"/>
      <c r="AL128" s="211"/>
      <c r="AM128" s="211"/>
      <c r="AN128" s="211"/>
    </row>
    <row r="129" spans="1:40">
      <c r="A129" s="9"/>
      <c r="B129" s="3"/>
      <c r="C129" s="3"/>
      <c r="D129" s="97"/>
      <c r="E129" s="97"/>
      <c r="F129" s="97"/>
      <c r="G129" s="97"/>
      <c r="H129" s="97"/>
      <c r="I129" s="97"/>
      <c r="J129" s="97"/>
      <c r="K129" s="97"/>
      <c r="L129" s="211"/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/>
      <c r="AF129" s="211"/>
      <c r="AG129" s="211"/>
      <c r="AH129" s="211"/>
      <c r="AI129" s="211"/>
      <c r="AJ129" s="211"/>
      <c r="AK129" s="211"/>
      <c r="AL129" s="211"/>
      <c r="AM129" s="211"/>
      <c r="AN129" s="211"/>
    </row>
    <row r="130" spans="1:40" ht="15.75">
      <c r="A130" s="339" t="s">
        <v>3</v>
      </c>
      <c r="B130" s="339"/>
      <c r="C130" s="339"/>
      <c r="D130" s="339"/>
      <c r="E130" s="339"/>
      <c r="F130" s="339"/>
      <c r="G130" s="339"/>
      <c r="H130" s="339"/>
      <c r="I130" s="339"/>
      <c r="J130" s="339"/>
      <c r="K130" s="339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/>
      <c r="AF130" s="211"/>
      <c r="AG130" s="211"/>
      <c r="AH130" s="211"/>
      <c r="AI130" s="211"/>
      <c r="AJ130" s="211"/>
      <c r="AK130" s="211"/>
      <c r="AL130" s="211"/>
      <c r="AM130" s="211"/>
      <c r="AN130" s="211"/>
    </row>
    <row r="131" spans="1:40" ht="15.75">
      <c r="A131" s="9"/>
      <c r="B131" s="3"/>
      <c r="C131" s="185"/>
      <c r="D131" s="75"/>
      <c r="E131" s="75"/>
      <c r="F131" s="75"/>
      <c r="G131" s="75"/>
      <c r="H131" s="75"/>
      <c r="I131" s="75"/>
      <c r="J131" s="75"/>
      <c r="K131" s="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  <c r="AB131" s="211"/>
      <c r="AC131" s="211"/>
      <c r="AD131" s="211"/>
      <c r="AE131" s="211"/>
      <c r="AF131" s="211"/>
      <c r="AG131" s="211"/>
      <c r="AH131" s="211"/>
      <c r="AI131" s="211"/>
      <c r="AJ131" s="211"/>
      <c r="AK131" s="211"/>
      <c r="AL131" s="211"/>
      <c r="AM131" s="211"/>
      <c r="AN131" s="211"/>
    </row>
    <row r="132" spans="1:40" ht="15.75">
      <c r="A132" s="9" t="s">
        <v>196</v>
      </c>
      <c r="B132" s="3"/>
      <c r="C132" s="185"/>
      <c r="D132" s="75"/>
      <c r="E132" s="75"/>
      <c r="F132" s="75"/>
      <c r="G132" s="75"/>
      <c r="H132" s="75"/>
      <c r="I132" s="75"/>
      <c r="J132" s="75"/>
      <c r="K132" s="1"/>
      <c r="L132" s="211"/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/>
      <c r="AF132" s="211"/>
      <c r="AG132" s="211"/>
      <c r="AH132" s="211"/>
      <c r="AI132" s="211"/>
      <c r="AJ132" s="211"/>
      <c r="AK132" s="211"/>
      <c r="AL132" s="211"/>
      <c r="AM132" s="211"/>
      <c r="AN132" s="211"/>
    </row>
    <row r="133" spans="1:40" ht="15.75" thickBot="1">
      <c r="A133" s="184" t="s">
        <v>197</v>
      </c>
      <c r="B133" s="3"/>
      <c r="C133" s="96" t="s">
        <v>117</v>
      </c>
      <c r="D133" s="75"/>
      <c r="E133" s="75"/>
      <c r="F133" s="75"/>
      <c r="G133" s="75"/>
      <c r="H133" s="75"/>
      <c r="I133" s="3"/>
      <c r="J133" s="3"/>
      <c r="K133" s="1"/>
      <c r="L133" s="211"/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  <c r="Z133" s="211"/>
      <c r="AA133" s="211"/>
      <c r="AB133" s="211"/>
      <c r="AC133" s="211"/>
      <c r="AD133" s="211"/>
      <c r="AE133" s="211"/>
      <c r="AF133" s="211"/>
      <c r="AG133" s="211"/>
      <c r="AH133" s="211"/>
      <c r="AI133" s="211"/>
      <c r="AJ133" s="211"/>
      <c r="AK133" s="211"/>
      <c r="AL133" s="211"/>
      <c r="AM133" s="211"/>
      <c r="AN133" s="211"/>
    </row>
    <row r="134" spans="1:40" ht="15.75" thickBot="1">
      <c r="A134" s="9"/>
      <c r="B134" s="3"/>
      <c r="C134" s="96"/>
      <c r="D134" s="75"/>
      <c r="E134" s="4" t="s">
        <v>0</v>
      </c>
      <c r="F134" s="75"/>
      <c r="G134" s="75"/>
      <c r="H134" s="75"/>
      <c r="I134" s="75"/>
      <c r="J134" s="75"/>
      <c r="K134" s="1"/>
      <c r="L134" s="211"/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  <c r="AB134" s="211"/>
      <c r="AC134" s="211"/>
      <c r="AD134" s="211"/>
      <c r="AE134" s="211"/>
      <c r="AF134" s="211"/>
      <c r="AG134" s="211"/>
      <c r="AH134" s="211"/>
      <c r="AI134" s="211"/>
      <c r="AJ134" s="211"/>
      <c r="AK134" s="211"/>
      <c r="AL134" s="211"/>
      <c r="AM134" s="211"/>
      <c r="AN134" s="211"/>
    </row>
    <row r="135" spans="1:40" ht="16.5" customHeight="1">
      <c r="A135" s="9">
        <f>+A119+1</f>
        <v>93</v>
      </c>
      <c r="B135" s="3"/>
      <c r="C135" s="2" t="s">
        <v>105</v>
      </c>
      <c r="D135" s="75"/>
      <c r="E135" s="1" t="str">
        <f>"Column (3) line "&amp;A16&amp;""</f>
        <v>Column (3) line 2</v>
      </c>
      <c r="F135" s="1"/>
      <c r="G135" s="1"/>
      <c r="H135" s="1"/>
      <c r="I135" s="1"/>
      <c r="J135" s="1">
        <f>+E16</f>
        <v>215706373.28769237</v>
      </c>
      <c r="K135" s="1"/>
      <c r="L135" s="211"/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  <c r="AB135" s="211"/>
      <c r="AC135" s="211"/>
      <c r="AD135" s="211"/>
      <c r="AE135" s="211"/>
      <c r="AF135" s="211"/>
      <c r="AG135" s="211"/>
      <c r="AH135" s="211"/>
      <c r="AI135" s="211"/>
      <c r="AJ135" s="211"/>
      <c r="AK135" s="211"/>
      <c r="AL135" s="211"/>
      <c r="AM135" s="211"/>
      <c r="AN135" s="211"/>
    </row>
    <row r="136" spans="1:40">
      <c r="A136" s="9">
        <f>+A135+1</f>
        <v>94</v>
      </c>
      <c r="B136" s="3"/>
      <c r="C136" s="2" t="s">
        <v>86</v>
      </c>
      <c r="D136" s="3"/>
      <c r="E136" s="3" t="s">
        <v>170</v>
      </c>
      <c r="F136" s="3"/>
      <c r="G136" s="3"/>
      <c r="H136" s="3"/>
      <c r="I136" s="3"/>
      <c r="J136" s="1">
        <v>24362903.993075013</v>
      </c>
      <c r="K136" s="1"/>
      <c r="L136" s="211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1"/>
      <c r="AI136" s="211"/>
      <c r="AJ136" s="211"/>
      <c r="AK136" s="211"/>
      <c r="AL136" s="211"/>
      <c r="AM136" s="211"/>
      <c r="AN136" s="211"/>
    </row>
    <row r="137" spans="1:40" ht="15.75" thickBot="1">
      <c r="A137" s="9">
        <f t="shared" ref="A137:A199" si="5">+A136+1</f>
        <v>95</v>
      </c>
      <c r="B137" s="3"/>
      <c r="C137" s="244" t="s">
        <v>87</v>
      </c>
      <c r="D137" s="245"/>
      <c r="E137" s="4" t="s">
        <v>170</v>
      </c>
      <c r="F137" s="1"/>
      <c r="G137" s="1"/>
      <c r="H137" s="186"/>
      <c r="I137" s="1"/>
      <c r="J137" s="4">
        <v>0</v>
      </c>
      <c r="K137" s="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  <c r="AA137" s="211"/>
      <c r="AB137" s="211"/>
      <c r="AC137" s="211"/>
      <c r="AD137" s="211"/>
      <c r="AE137" s="211"/>
      <c r="AF137" s="211"/>
      <c r="AG137" s="211"/>
      <c r="AH137" s="211"/>
      <c r="AI137" s="211"/>
      <c r="AJ137" s="211"/>
      <c r="AK137" s="211"/>
      <c r="AL137" s="211"/>
      <c r="AM137" s="211"/>
      <c r="AN137" s="211"/>
    </row>
    <row r="138" spans="1:40">
      <c r="A138" s="9">
        <f t="shared" si="5"/>
        <v>96</v>
      </c>
      <c r="B138" s="3"/>
      <c r="C138" s="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75"/>
      <c r="E138" s="1"/>
      <c r="F138" s="1"/>
      <c r="G138" s="1"/>
      <c r="H138" s="186"/>
      <c r="I138" s="1"/>
      <c r="J138" s="1">
        <f>J135-J136-J137</f>
        <v>191343469.29461735</v>
      </c>
      <c r="K138" s="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  <c r="AA138" s="211"/>
      <c r="AB138" s="211"/>
      <c r="AC138" s="211"/>
      <c r="AD138" s="211"/>
      <c r="AE138" s="211"/>
      <c r="AF138" s="211"/>
      <c r="AG138" s="211"/>
      <c r="AH138" s="211"/>
      <c r="AI138" s="211"/>
      <c r="AJ138" s="211"/>
      <c r="AK138" s="211"/>
      <c r="AL138" s="211"/>
      <c r="AM138" s="211"/>
      <c r="AN138" s="211"/>
    </row>
    <row r="139" spans="1:40">
      <c r="A139" s="9">
        <f t="shared" si="5"/>
        <v>97</v>
      </c>
      <c r="B139" s="3"/>
      <c r="C139" s="2" t="str">
        <f>"Plus Common Use AC Facilities (line "&amp;A149&amp;")"</f>
        <v>Plus Common Use AC Facilities (line 107)</v>
      </c>
      <c r="D139" s="75"/>
      <c r="E139" s="1"/>
      <c r="F139" s="1"/>
      <c r="G139" s="1"/>
      <c r="H139" s="186"/>
      <c r="I139" s="1"/>
      <c r="J139" s="1">
        <f>+J149</f>
        <v>9830021.3099999987</v>
      </c>
      <c r="K139" s="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/>
      <c r="AF139" s="211"/>
      <c r="AG139" s="211"/>
      <c r="AH139" s="211"/>
      <c r="AI139" s="211"/>
      <c r="AJ139" s="211"/>
      <c r="AK139" s="211"/>
      <c r="AL139" s="211"/>
      <c r="AM139" s="211"/>
      <c r="AN139" s="211"/>
    </row>
    <row r="140" spans="1:40">
      <c r="A140" s="9">
        <f t="shared" si="5"/>
        <v>98</v>
      </c>
      <c r="B140" s="3"/>
      <c r="C140" s="2" t="str">
        <f>"Total Gross Plant for the CUS System (line "&amp;A138&amp;" plus line "&amp;A139&amp;")"</f>
        <v>Total Gross Plant for the CUS System (line 96 plus line 97)</v>
      </c>
      <c r="D140" s="75"/>
      <c r="E140" s="1"/>
      <c r="F140" s="1"/>
      <c r="G140" s="1"/>
      <c r="H140" s="186"/>
      <c r="I140" s="1"/>
      <c r="J140" s="246">
        <f>SUM(J138:J139)</f>
        <v>201173490.60461736</v>
      </c>
      <c r="K140" s="1"/>
      <c r="L140" s="211"/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1"/>
      <c r="AI140" s="211"/>
      <c r="AJ140" s="211"/>
      <c r="AK140" s="211"/>
      <c r="AL140" s="211"/>
      <c r="AM140" s="211"/>
      <c r="AN140" s="211"/>
    </row>
    <row r="141" spans="1:40">
      <c r="A141" s="9">
        <f t="shared" si="5"/>
        <v>99</v>
      </c>
      <c r="B141" s="3"/>
      <c r="C141" s="2" t="str">
        <f>"Total CUS Plant (line "&amp;A135&amp;" plus line "&amp;A149&amp;")"</f>
        <v>Total CUS Plant (line 93 plus line 107)</v>
      </c>
      <c r="D141" s="75"/>
      <c r="E141" s="1"/>
      <c r="F141" s="1"/>
      <c r="G141" s="1"/>
      <c r="H141" s="186"/>
      <c r="I141" s="1"/>
      <c r="J141" s="225">
        <f>+J135+J149</f>
        <v>225536394.59769237</v>
      </c>
      <c r="K141" s="1"/>
      <c r="L141" s="211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  <c r="Z141" s="211"/>
      <c r="AA141" s="211"/>
      <c r="AB141" s="211"/>
      <c r="AC141" s="211"/>
      <c r="AD141" s="211"/>
      <c r="AE141" s="211"/>
      <c r="AF141" s="211"/>
      <c r="AG141" s="211"/>
      <c r="AH141" s="211"/>
      <c r="AI141" s="211"/>
      <c r="AJ141" s="211"/>
      <c r="AK141" s="211"/>
      <c r="AL141" s="211"/>
      <c r="AM141" s="211"/>
      <c r="AN141" s="211"/>
    </row>
    <row r="142" spans="1:40">
      <c r="A142" s="9">
        <f t="shared" si="5"/>
        <v>100</v>
      </c>
      <c r="B142" s="3"/>
      <c r="C142" s="3"/>
      <c r="D142" s="75"/>
      <c r="E142" s="1"/>
      <c r="F142" s="1"/>
      <c r="G142" s="1"/>
      <c r="H142" s="186"/>
      <c r="I142" s="1"/>
      <c r="J142" s="3"/>
      <c r="K142" s="1"/>
      <c r="L142" s="211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  <c r="AA142" s="211"/>
      <c r="AB142" s="211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</row>
    <row r="143" spans="1:40">
      <c r="A143" s="9">
        <f t="shared" si="5"/>
        <v>101</v>
      </c>
      <c r="B143" s="3"/>
      <c r="C143" s="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179"/>
      <c r="E143" s="247"/>
      <c r="F143" s="247"/>
      <c r="G143" s="247"/>
      <c r="H143" s="213"/>
      <c r="I143" s="1" t="s">
        <v>244</v>
      </c>
      <c r="J143" s="248">
        <f>ROUND(IF(J141&gt;0,J140/J141,0),6)</f>
        <v>0.89197800000000005</v>
      </c>
      <c r="K143" s="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</row>
    <row r="144" spans="1:40">
      <c r="A144" s="9">
        <f t="shared" si="5"/>
        <v>102</v>
      </c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  <c r="AA144" s="211"/>
      <c r="AB144" s="211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</row>
    <row r="145" spans="1:40" ht="15.75" thickBot="1">
      <c r="A145" s="9">
        <f t="shared" si="5"/>
        <v>103</v>
      </c>
      <c r="B145" s="3"/>
      <c r="C145" s="96" t="s">
        <v>103</v>
      </c>
      <c r="D145" s="75"/>
      <c r="E145" s="4" t="s">
        <v>0</v>
      </c>
      <c r="F145" s="75"/>
      <c r="G145" s="75"/>
      <c r="H145" s="75"/>
      <c r="I145" s="75"/>
      <c r="J145" s="75"/>
      <c r="K145" s="3"/>
      <c r="L145" s="211"/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  <c r="AB145" s="211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</row>
    <row r="146" spans="1:40">
      <c r="A146" s="9">
        <f t="shared" si="5"/>
        <v>104</v>
      </c>
      <c r="B146" s="3"/>
      <c r="C146" s="2" t="s">
        <v>104</v>
      </c>
      <c r="D146" s="75"/>
      <c r="E146" s="1" t="str">
        <f>"Column (3) line "&amp;A17&amp;""</f>
        <v>Column (3) line 3</v>
      </c>
      <c r="F146" s="1"/>
      <c r="G146" s="1"/>
      <c r="H146" s="1"/>
      <c r="I146" s="1"/>
      <c r="J146" s="1">
        <f>+E17</f>
        <v>410802922.74307692</v>
      </c>
      <c r="K146" s="3"/>
      <c r="L146" s="211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  <c r="AA146" s="211"/>
      <c r="AB146" s="211"/>
      <c r="AC146" s="211"/>
      <c r="AD146" s="211"/>
      <c r="AE146" s="211"/>
      <c r="AF146" s="211"/>
      <c r="AG146" s="211"/>
      <c r="AH146" s="211"/>
      <c r="AI146" s="211"/>
      <c r="AJ146" s="211"/>
      <c r="AK146" s="211"/>
      <c r="AL146" s="211"/>
      <c r="AM146" s="211"/>
      <c r="AN146" s="211"/>
    </row>
    <row r="147" spans="1:40">
      <c r="A147" s="9">
        <f t="shared" si="5"/>
        <v>105</v>
      </c>
      <c r="B147" s="3"/>
      <c r="C147" s="2" t="s">
        <v>107</v>
      </c>
      <c r="D147" s="3"/>
      <c r="E147" s="3" t="s">
        <v>170</v>
      </c>
      <c r="F147" s="3"/>
      <c r="G147" s="3"/>
      <c r="H147" s="3"/>
      <c r="I147" s="3"/>
      <c r="J147" s="1">
        <f>+J146-J149</f>
        <v>400972901.43307692</v>
      </c>
      <c r="K147" s="3"/>
      <c r="L147" s="211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  <c r="AA147" s="211"/>
      <c r="AB147" s="211"/>
      <c r="AC147" s="211"/>
      <c r="AD147" s="211"/>
      <c r="AE147" s="211"/>
      <c r="AF147" s="211"/>
      <c r="AG147" s="211"/>
      <c r="AH147" s="211"/>
      <c r="AI147" s="211"/>
      <c r="AJ147" s="211"/>
      <c r="AK147" s="211"/>
      <c r="AL147" s="211"/>
      <c r="AM147" s="211"/>
      <c r="AN147" s="211"/>
    </row>
    <row r="148" spans="1:40" ht="15.75" thickBot="1">
      <c r="A148" s="9">
        <f t="shared" si="5"/>
        <v>106</v>
      </c>
      <c r="B148" s="3"/>
      <c r="C148" s="244" t="s">
        <v>108</v>
      </c>
      <c r="D148" s="245"/>
      <c r="E148" s="4" t="s">
        <v>170</v>
      </c>
      <c r="F148" s="1"/>
      <c r="G148" s="1"/>
      <c r="H148" s="186"/>
      <c r="I148" s="1"/>
      <c r="J148" s="4">
        <v>0</v>
      </c>
      <c r="K148" s="3"/>
      <c r="L148" s="211"/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  <c r="Z148" s="211"/>
      <c r="AA148" s="211"/>
      <c r="AB148" s="211"/>
      <c r="AC148" s="211"/>
      <c r="AD148" s="211"/>
      <c r="AE148" s="211"/>
      <c r="AF148" s="211"/>
      <c r="AG148" s="211"/>
      <c r="AH148" s="211"/>
      <c r="AI148" s="211"/>
      <c r="AJ148" s="211"/>
      <c r="AK148" s="211"/>
      <c r="AL148" s="211"/>
      <c r="AM148" s="211"/>
      <c r="AN148" s="211"/>
    </row>
    <row r="149" spans="1:40">
      <c r="A149" s="9">
        <f t="shared" si="5"/>
        <v>107</v>
      </c>
      <c r="B149" s="3"/>
      <c r="C149" s="2" t="str">
        <f>"Common Use AC Facilities (line "&amp;A146&amp;" less lines "&amp;A147&amp;" &amp; "&amp;A148&amp;")"</f>
        <v>Common Use AC Facilities (line 104 less lines 105 &amp; 106)</v>
      </c>
      <c r="D149" s="75"/>
      <c r="E149" s="1"/>
      <c r="F149" s="1"/>
      <c r="G149" s="1"/>
      <c r="H149" s="186"/>
      <c r="I149" s="1"/>
      <c r="J149" s="1">
        <v>9830021.3099999987</v>
      </c>
      <c r="K149" s="3"/>
      <c r="L149" s="211"/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  <c r="Z149" s="211"/>
      <c r="AA149" s="211"/>
      <c r="AB149" s="211"/>
      <c r="AC149" s="211"/>
      <c r="AD149" s="211"/>
      <c r="AE149" s="211"/>
      <c r="AF149" s="211"/>
      <c r="AG149" s="211"/>
      <c r="AH149" s="211"/>
      <c r="AI149" s="211"/>
      <c r="AJ149" s="211"/>
      <c r="AK149" s="211"/>
      <c r="AL149" s="211"/>
      <c r="AM149" s="211"/>
      <c r="AN149" s="211"/>
    </row>
    <row r="150" spans="1:40">
      <c r="A150" s="9">
        <f t="shared" si="5"/>
        <v>108</v>
      </c>
      <c r="B150" s="3"/>
      <c r="C150" s="3"/>
      <c r="D150" s="75"/>
      <c r="E150" s="1"/>
      <c r="F150" s="1"/>
      <c r="G150" s="1"/>
      <c r="H150" s="186"/>
      <c r="I150" s="1"/>
      <c r="J150" s="3"/>
      <c r="K150" s="3"/>
      <c r="L150" s="211"/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  <c r="Z150" s="211"/>
      <c r="AA150" s="211"/>
      <c r="AB150" s="211"/>
      <c r="AC150" s="211"/>
      <c r="AD150" s="211"/>
      <c r="AE150" s="211"/>
      <c r="AF150" s="211"/>
      <c r="AG150" s="211"/>
      <c r="AH150" s="211"/>
      <c r="AI150" s="211"/>
      <c r="AJ150" s="211"/>
      <c r="AK150" s="211"/>
      <c r="AL150" s="211"/>
      <c r="AM150" s="211"/>
      <c r="AN150" s="211"/>
    </row>
    <row r="151" spans="1:40">
      <c r="A151" s="9">
        <f t="shared" si="5"/>
        <v>109</v>
      </c>
      <c r="B151" s="3"/>
      <c r="C151" s="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179"/>
      <c r="E151" s="247"/>
      <c r="F151" s="247"/>
      <c r="G151" s="247"/>
      <c r="H151" s="213"/>
      <c r="I151" s="1" t="s">
        <v>106</v>
      </c>
      <c r="J151" s="248">
        <f>ROUND(IF(J146&gt;0,J149/J146,0),6)</f>
        <v>2.3928999999999999E-2</v>
      </c>
      <c r="K151" s="3"/>
      <c r="L151" s="211"/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  <c r="Z151" s="211"/>
      <c r="AA151" s="211"/>
      <c r="AB151" s="211"/>
      <c r="AC151" s="211"/>
      <c r="AD151" s="211"/>
      <c r="AE151" s="211"/>
      <c r="AF151" s="211"/>
      <c r="AG151" s="211"/>
      <c r="AH151" s="211"/>
      <c r="AI151" s="211"/>
      <c r="AJ151" s="211"/>
      <c r="AK151" s="211"/>
      <c r="AL151" s="211"/>
      <c r="AM151" s="211"/>
      <c r="AN151" s="211"/>
    </row>
    <row r="152" spans="1:40">
      <c r="A152" s="9">
        <f t="shared" si="5"/>
        <v>110</v>
      </c>
      <c r="B152" s="3"/>
      <c r="C152" s="3"/>
      <c r="D152" s="75"/>
      <c r="E152" s="1"/>
      <c r="F152" s="1"/>
      <c r="G152" s="1"/>
      <c r="H152" s="186"/>
      <c r="I152" s="1"/>
      <c r="J152" s="3"/>
      <c r="K152" s="3"/>
      <c r="L152" s="211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  <c r="AA152" s="211"/>
      <c r="AB152" s="211"/>
      <c r="AC152" s="211"/>
      <c r="AD152" s="211"/>
      <c r="AE152" s="211"/>
      <c r="AF152" s="211"/>
      <c r="AG152" s="211"/>
      <c r="AH152" s="211"/>
      <c r="AI152" s="211"/>
      <c r="AJ152" s="211"/>
      <c r="AK152" s="211"/>
      <c r="AL152" s="211"/>
      <c r="AM152" s="211"/>
      <c r="AN152" s="211"/>
    </row>
    <row r="153" spans="1:40" ht="15.75" thickBot="1">
      <c r="A153" s="9">
        <f t="shared" si="5"/>
        <v>111</v>
      </c>
      <c r="B153" s="3"/>
      <c r="C153" s="96" t="s">
        <v>222</v>
      </c>
      <c r="D153" s="75"/>
      <c r="E153" s="4" t="s">
        <v>0</v>
      </c>
      <c r="F153" s="1"/>
      <c r="G153" s="1"/>
      <c r="H153" s="186"/>
      <c r="I153" s="1"/>
      <c r="J153" s="1"/>
      <c r="K153" s="3"/>
      <c r="L153" s="211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  <c r="AB153" s="211"/>
      <c r="AC153" s="211"/>
      <c r="AD153" s="211"/>
      <c r="AE153" s="211"/>
      <c r="AF153" s="211"/>
      <c r="AG153" s="211"/>
      <c r="AH153" s="211"/>
      <c r="AI153" s="211"/>
      <c r="AJ153" s="211"/>
      <c r="AK153" s="211"/>
      <c r="AL153" s="211"/>
      <c r="AM153" s="211"/>
      <c r="AN153" s="211"/>
    </row>
    <row r="154" spans="1:40">
      <c r="A154" s="9">
        <f t="shared" si="5"/>
        <v>112</v>
      </c>
      <c r="B154" s="3"/>
      <c r="C154" s="3" t="s">
        <v>78</v>
      </c>
      <c r="D154" s="75"/>
      <c r="E154" s="1" t="str">
        <f>"Column (3) line "&amp;A26&amp;""</f>
        <v>Column (3) line 12</v>
      </c>
      <c r="F154" s="1"/>
      <c r="G154" s="1"/>
      <c r="H154" s="186"/>
      <c r="I154" s="1"/>
      <c r="J154" s="1">
        <f>+E26</f>
        <v>51000511.331745811</v>
      </c>
      <c r="K154" s="3"/>
      <c r="L154" s="211"/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/>
      <c r="AB154" s="211"/>
      <c r="AC154" s="211"/>
      <c r="AD154" s="211"/>
      <c r="AE154" s="211"/>
      <c r="AF154" s="211"/>
      <c r="AG154" s="211"/>
      <c r="AH154" s="211"/>
      <c r="AI154" s="211"/>
      <c r="AJ154" s="211"/>
      <c r="AK154" s="211"/>
      <c r="AL154" s="211"/>
      <c r="AM154" s="211"/>
      <c r="AN154" s="211"/>
    </row>
    <row r="155" spans="1:40">
      <c r="A155" s="9">
        <f t="shared" si="5"/>
        <v>113</v>
      </c>
      <c r="B155" s="3"/>
      <c r="C155" s="2" t="s">
        <v>405</v>
      </c>
      <c r="D155" s="75"/>
      <c r="E155" s="1" t="s">
        <v>170</v>
      </c>
      <c r="F155" s="1"/>
      <c r="G155" s="1"/>
      <c r="H155" s="186"/>
      <c r="I155" s="1"/>
      <c r="J155" s="288">
        <v>8706942.6251044944</v>
      </c>
      <c r="K155" s="3"/>
      <c r="L155" s="211"/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  <c r="AA155" s="211"/>
      <c r="AB155" s="211"/>
      <c r="AC155" s="211"/>
      <c r="AD155" s="211"/>
      <c r="AE155" s="211"/>
      <c r="AF155" s="211"/>
      <c r="AG155" s="211"/>
      <c r="AH155" s="211"/>
      <c r="AI155" s="211"/>
      <c r="AJ155" s="211"/>
      <c r="AK155" s="211"/>
      <c r="AL155" s="211"/>
      <c r="AM155" s="211"/>
      <c r="AN155" s="211"/>
    </row>
    <row r="156" spans="1:40">
      <c r="A156" s="9">
        <f t="shared" si="5"/>
        <v>114</v>
      </c>
      <c r="B156" s="3"/>
      <c r="C156" s="249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50"/>
      <c r="E156" s="246"/>
      <c r="F156" s="1"/>
      <c r="G156" s="1"/>
      <c r="H156" s="186"/>
      <c r="I156" s="1"/>
      <c r="J156" s="246">
        <f>J154-J155</f>
        <v>42293568.706641316</v>
      </c>
      <c r="K156" s="3"/>
      <c r="L156" s="211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  <c r="AB156" s="211"/>
      <c r="AC156" s="211"/>
      <c r="AD156" s="211"/>
      <c r="AE156" s="211"/>
      <c r="AF156" s="211"/>
      <c r="AG156" s="211"/>
      <c r="AH156" s="211"/>
      <c r="AI156" s="211"/>
      <c r="AJ156" s="211"/>
      <c r="AK156" s="211"/>
      <c r="AL156" s="211"/>
      <c r="AM156" s="211"/>
      <c r="AN156" s="211"/>
    </row>
    <row r="157" spans="1:40">
      <c r="A157" s="9">
        <f t="shared" si="5"/>
        <v>115</v>
      </c>
      <c r="B157" s="3"/>
      <c r="C157" s="2" t="str">
        <f>"Plus Common Use AC Facilities Accumulated Depreciation (line "&amp;A166&amp;")"</f>
        <v>Plus Common Use AC Facilities Accumulated Depreciation (line 124)</v>
      </c>
      <c r="D157" s="251"/>
      <c r="E157" s="225"/>
      <c r="F157" s="1"/>
      <c r="G157" s="1"/>
      <c r="H157" s="186"/>
      <c r="I157" s="1"/>
      <c r="J157" s="225">
        <f>+J166</f>
        <v>3842657.2850000011</v>
      </c>
      <c r="K157" s="3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211"/>
      <c r="AC157" s="211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211"/>
      <c r="AN157" s="211"/>
    </row>
    <row r="158" spans="1:40">
      <c r="A158" s="9">
        <f t="shared" si="5"/>
        <v>116</v>
      </c>
      <c r="B158" s="3"/>
      <c r="C158" s="2" t="str">
        <f>"Total Accumulated Depreciation for the CUS System (line "&amp;A156&amp;" plus line "&amp;A157&amp;")"</f>
        <v>Total Accumulated Depreciation for the CUS System (line 114 plus line 115)</v>
      </c>
      <c r="D158" s="251"/>
      <c r="E158" s="225"/>
      <c r="F158" s="1"/>
      <c r="G158" s="1"/>
      <c r="H158" s="186"/>
      <c r="I158" s="1"/>
      <c r="J158" s="246">
        <f>SUM(J156:J157)</f>
        <v>46136225.99164132</v>
      </c>
      <c r="K158" s="3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211"/>
      <c r="AN158" s="211"/>
    </row>
    <row r="159" spans="1:40">
      <c r="A159" s="9">
        <f t="shared" si="5"/>
        <v>117</v>
      </c>
      <c r="B159" s="3"/>
      <c r="C159" s="2" t="str">
        <f>"Total CUS Accumulated Depreciation (line "&amp;A154&amp;" plus line "&amp;A157&amp;")"</f>
        <v>Total CUS Accumulated Depreciation (line 112 plus line 115)</v>
      </c>
      <c r="D159" s="251"/>
      <c r="E159" s="225"/>
      <c r="F159" s="1"/>
      <c r="G159" s="1"/>
      <c r="H159" s="186"/>
      <c r="I159" s="1"/>
      <c r="J159" s="225">
        <f>+J154+J157</f>
        <v>54843168.616745815</v>
      </c>
      <c r="K159" s="3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</row>
    <row r="160" spans="1:40">
      <c r="A160" s="9">
        <f t="shared" si="5"/>
        <v>118</v>
      </c>
      <c r="B160" s="3"/>
      <c r="C160" s="3"/>
      <c r="D160" s="75"/>
      <c r="E160" s="1"/>
      <c r="F160" s="1"/>
      <c r="G160" s="1"/>
      <c r="H160" s="186"/>
      <c r="I160" s="1"/>
      <c r="J160" s="1"/>
      <c r="K160" s="3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1"/>
      <c r="AK160" s="211"/>
      <c r="AL160" s="211"/>
      <c r="AM160" s="211"/>
      <c r="AN160" s="211"/>
    </row>
    <row r="161" spans="1:40">
      <c r="A161" s="9">
        <f t="shared" si="5"/>
        <v>119</v>
      </c>
      <c r="B161" s="3"/>
      <c r="C161" s="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75"/>
      <c r="E161" s="1"/>
      <c r="F161" s="1"/>
      <c r="G161" s="1"/>
      <c r="H161" s="186"/>
      <c r="I161" s="1" t="s">
        <v>79</v>
      </c>
      <c r="J161" s="248">
        <f>ROUND(IF(J159&gt;0,J158/J159,0),6)</f>
        <v>0.84123899999999996</v>
      </c>
      <c r="K161" s="3"/>
      <c r="L161" s="211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  <c r="AA161" s="211"/>
      <c r="AB161" s="211"/>
      <c r="AC161" s="211"/>
      <c r="AD161" s="211"/>
      <c r="AE161" s="211"/>
      <c r="AF161" s="211"/>
      <c r="AG161" s="211"/>
      <c r="AH161" s="211"/>
      <c r="AI161" s="211"/>
      <c r="AJ161" s="211"/>
      <c r="AK161" s="211"/>
      <c r="AL161" s="211"/>
      <c r="AM161" s="211"/>
      <c r="AN161" s="211"/>
    </row>
    <row r="162" spans="1:40">
      <c r="A162" s="9">
        <f t="shared" si="5"/>
        <v>120</v>
      </c>
      <c r="B162" s="3"/>
      <c r="C162" s="3"/>
      <c r="D162" s="75"/>
      <c r="E162" s="1"/>
      <c r="F162" s="1"/>
      <c r="G162" s="1"/>
      <c r="H162" s="186"/>
      <c r="I162" s="1"/>
      <c r="J162" s="1"/>
      <c r="K162" s="3"/>
      <c r="L162" s="211"/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  <c r="Z162" s="211"/>
      <c r="AA162" s="211"/>
      <c r="AB162" s="211"/>
      <c r="AC162" s="211"/>
      <c r="AD162" s="211"/>
      <c r="AE162" s="211"/>
      <c r="AF162" s="211"/>
      <c r="AG162" s="211"/>
      <c r="AH162" s="211"/>
      <c r="AI162" s="211"/>
      <c r="AJ162" s="211"/>
      <c r="AK162" s="211"/>
      <c r="AL162" s="211"/>
      <c r="AM162" s="211"/>
      <c r="AN162" s="211"/>
    </row>
    <row r="163" spans="1:40" ht="15.75" thickBot="1">
      <c r="A163" s="9">
        <f t="shared" si="5"/>
        <v>121</v>
      </c>
      <c r="B163" s="3"/>
      <c r="C163" s="3"/>
      <c r="D163" s="75"/>
      <c r="E163" s="4" t="s">
        <v>0</v>
      </c>
      <c r="F163" s="1"/>
      <c r="G163" s="1"/>
      <c r="H163" s="186"/>
      <c r="I163" s="1"/>
      <c r="J163" s="1"/>
      <c r="K163" s="3"/>
      <c r="L163" s="211"/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  <c r="AA163" s="211"/>
      <c r="AB163" s="211"/>
      <c r="AC163" s="211"/>
      <c r="AD163" s="211"/>
      <c r="AE163" s="211"/>
      <c r="AF163" s="211"/>
      <c r="AG163" s="211"/>
      <c r="AH163" s="211"/>
      <c r="AI163" s="211"/>
      <c r="AJ163" s="211"/>
      <c r="AK163" s="211"/>
      <c r="AL163" s="211"/>
      <c r="AM163" s="211"/>
      <c r="AN163" s="211"/>
    </row>
    <row r="164" spans="1:40">
      <c r="A164" s="9">
        <f t="shared" si="5"/>
        <v>122</v>
      </c>
      <c r="B164" s="3"/>
      <c r="C164" s="3" t="s">
        <v>81</v>
      </c>
      <c r="D164" s="75"/>
      <c r="E164" s="1" t="str">
        <f>"Column (3) line "&amp;A27&amp;""</f>
        <v>Column (3) line 13</v>
      </c>
      <c r="F164" s="1"/>
      <c r="G164" s="1"/>
      <c r="H164" s="186"/>
      <c r="I164" s="1"/>
      <c r="J164" s="1">
        <f>+E27</f>
        <v>145835928.93606061</v>
      </c>
      <c r="K164" s="3"/>
      <c r="L164" s="211"/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  <c r="AA164" s="211"/>
      <c r="AB164" s="211"/>
      <c r="AC164" s="211"/>
      <c r="AD164" s="211"/>
      <c r="AE164" s="211"/>
      <c r="AF164" s="211"/>
      <c r="AG164" s="211"/>
      <c r="AH164" s="211"/>
      <c r="AI164" s="211"/>
      <c r="AJ164" s="211"/>
      <c r="AK164" s="211"/>
      <c r="AL164" s="211"/>
      <c r="AM164" s="211"/>
      <c r="AN164" s="211"/>
    </row>
    <row r="165" spans="1:40">
      <c r="A165" s="9">
        <f t="shared" si="5"/>
        <v>123</v>
      </c>
      <c r="B165" s="3"/>
      <c r="C165" s="3" t="s">
        <v>171</v>
      </c>
      <c r="D165" s="75"/>
      <c r="E165" s="1"/>
      <c r="F165" s="1"/>
      <c r="G165" s="1"/>
      <c r="H165" s="186"/>
      <c r="I165" s="1"/>
      <c r="J165" s="1">
        <f>+J164-J166</f>
        <v>141993271.65106061</v>
      </c>
      <c r="K165" s="3"/>
      <c r="L165" s="211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  <c r="AA165" s="211"/>
      <c r="AB165" s="211"/>
      <c r="AC165" s="211"/>
      <c r="AD165" s="211"/>
      <c r="AE165" s="211"/>
      <c r="AF165" s="211"/>
      <c r="AG165" s="211"/>
      <c r="AH165" s="211"/>
      <c r="AI165" s="211"/>
      <c r="AJ165" s="211"/>
      <c r="AK165" s="211"/>
      <c r="AL165" s="211"/>
      <c r="AM165" s="211"/>
      <c r="AN165" s="211"/>
    </row>
    <row r="166" spans="1:40">
      <c r="A166" s="9">
        <f t="shared" si="5"/>
        <v>124</v>
      </c>
      <c r="B166" s="3"/>
      <c r="C166" s="252" t="str">
        <f>"Common Use AC Facilities (line "&amp;A164&amp;" less line "&amp;A165&amp;")"</f>
        <v>Common Use AC Facilities (line 122 less line 123)</v>
      </c>
      <c r="D166" s="250"/>
      <c r="E166" s="246"/>
      <c r="F166" s="1"/>
      <c r="G166" s="1"/>
      <c r="H166" s="186"/>
      <c r="I166" s="1"/>
      <c r="J166" s="246">
        <v>3842657.2850000011</v>
      </c>
      <c r="K166" s="3"/>
      <c r="L166" s="211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  <c r="AA166" s="211"/>
      <c r="AB166" s="211"/>
      <c r="AC166" s="211"/>
      <c r="AD166" s="211"/>
      <c r="AE166" s="211"/>
      <c r="AF166" s="211"/>
      <c r="AG166" s="211"/>
      <c r="AH166" s="211"/>
      <c r="AI166" s="211"/>
      <c r="AJ166" s="211"/>
      <c r="AK166" s="211"/>
      <c r="AL166" s="211"/>
      <c r="AM166" s="211"/>
      <c r="AN166" s="211"/>
    </row>
    <row r="167" spans="1:40">
      <c r="A167" s="9">
        <f t="shared" si="5"/>
        <v>125</v>
      </c>
      <c r="B167" s="3"/>
      <c r="C167" s="3"/>
      <c r="D167" s="75"/>
      <c r="E167" s="1"/>
      <c r="F167" s="1"/>
      <c r="G167" s="1"/>
      <c r="H167" s="186"/>
      <c r="I167" s="1"/>
      <c r="J167" s="1"/>
      <c r="K167" s="3"/>
      <c r="L167" s="211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11"/>
      <c r="AF167" s="211"/>
      <c r="AG167" s="211"/>
      <c r="AH167" s="211"/>
      <c r="AI167" s="211"/>
      <c r="AJ167" s="211"/>
      <c r="AK167" s="211"/>
      <c r="AL167" s="211"/>
      <c r="AM167" s="211"/>
      <c r="AN167" s="211"/>
    </row>
    <row r="168" spans="1:40">
      <c r="A168" s="9">
        <f t="shared" si="5"/>
        <v>126</v>
      </c>
      <c r="B168" s="3"/>
      <c r="C168" s="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75"/>
      <c r="E168" s="1"/>
      <c r="F168" s="1"/>
      <c r="G168" s="1"/>
      <c r="H168" s="186"/>
      <c r="I168" s="1" t="s">
        <v>82</v>
      </c>
      <c r="J168" s="248">
        <f>ROUND(IF(J164&gt;0,J166/J164,0),6)</f>
        <v>2.6349000000000001E-2</v>
      </c>
      <c r="K168" s="3"/>
      <c r="L168" s="211"/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  <c r="AB168" s="211"/>
      <c r="AC168" s="211"/>
      <c r="AD168" s="211"/>
      <c r="AE168" s="211"/>
      <c r="AF168" s="211"/>
      <c r="AG168" s="211"/>
      <c r="AH168" s="211"/>
      <c r="AI168" s="211"/>
      <c r="AJ168" s="211"/>
      <c r="AK168" s="211"/>
      <c r="AL168" s="211"/>
      <c r="AM168" s="211"/>
      <c r="AN168" s="211"/>
    </row>
    <row r="169" spans="1:40">
      <c r="A169" s="9">
        <f t="shared" si="5"/>
        <v>127</v>
      </c>
      <c r="B169" s="3"/>
      <c r="C169" s="3"/>
      <c r="D169" s="75"/>
      <c r="E169" s="1"/>
      <c r="F169" s="1"/>
      <c r="G169" s="1"/>
      <c r="H169" s="186"/>
      <c r="I169" s="1"/>
      <c r="J169" s="1"/>
      <c r="K169" s="3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  <c r="AB169" s="211"/>
      <c r="AC169" s="211"/>
      <c r="AD169" s="211"/>
      <c r="AE169" s="211"/>
      <c r="AF169" s="211"/>
      <c r="AG169" s="211"/>
      <c r="AH169" s="211"/>
      <c r="AI169" s="211"/>
      <c r="AJ169" s="211"/>
      <c r="AK169" s="211"/>
      <c r="AL169" s="211"/>
      <c r="AM169" s="211"/>
      <c r="AN169" s="211"/>
    </row>
    <row r="170" spans="1:40">
      <c r="A170" s="9">
        <f t="shared" si="5"/>
        <v>128</v>
      </c>
      <c r="B170" s="3"/>
      <c r="C170" s="97" t="s">
        <v>245</v>
      </c>
      <c r="D170" s="1"/>
      <c r="E170" s="1"/>
      <c r="F170" s="1"/>
      <c r="G170" s="1"/>
      <c r="H170" s="1"/>
      <c r="I170" s="1"/>
      <c r="J170" s="1"/>
      <c r="K170" s="1"/>
      <c r="L170" s="211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  <c r="AA170" s="211"/>
      <c r="AB170" s="211"/>
      <c r="AC170" s="211"/>
      <c r="AD170" s="211"/>
      <c r="AE170" s="211"/>
      <c r="AF170" s="211"/>
      <c r="AG170" s="211"/>
      <c r="AH170" s="211"/>
      <c r="AI170" s="211"/>
      <c r="AJ170" s="211"/>
      <c r="AK170" s="211"/>
      <c r="AL170" s="211"/>
      <c r="AM170" s="211"/>
      <c r="AN170" s="211"/>
    </row>
    <row r="171" spans="1:40" ht="15.75" thickBot="1">
      <c r="A171" s="9">
        <f t="shared" si="5"/>
        <v>129</v>
      </c>
      <c r="B171" s="3"/>
      <c r="C171" s="97"/>
      <c r="D171" s="4" t="s">
        <v>246</v>
      </c>
      <c r="E171" s="253" t="s">
        <v>247</v>
      </c>
      <c r="F171" s="253" t="s">
        <v>200</v>
      </c>
      <c r="G171" s="1"/>
      <c r="H171" s="253" t="s">
        <v>248</v>
      </c>
      <c r="I171" s="225"/>
      <c r="J171" s="254"/>
      <c r="K171" s="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  <c r="AB171" s="211"/>
      <c r="AC171" s="211"/>
      <c r="AD171" s="211"/>
      <c r="AE171" s="211"/>
      <c r="AF171" s="211"/>
      <c r="AG171" s="211"/>
      <c r="AH171" s="211"/>
      <c r="AI171" s="211"/>
      <c r="AJ171" s="211"/>
      <c r="AK171" s="211"/>
      <c r="AL171" s="211"/>
      <c r="AM171" s="211"/>
      <c r="AN171" s="211"/>
    </row>
    <row r="172" spans="1:40">
      <c r="A172" s="9">
        <f t="shared" si="5"/>
        <v>130</v>
      </c>
      <c r="B172" s="3"/>
      <c r="C172" s="97" t="s">
        <v>215</v>
      </c>
      <c r="D172" s="1" t="s">
        <v>127</v>
      </c>
      <c r="E172" s="1">
        <v>1750216</v>
      </c>
      <c r="F172" s="255">
        <f>+J143</f>
        <v>0.89197800000000005</v>
      </c>
      <c r="G172" s="3"/>
      <c r="H172" s="1">
        <f>E172*F172</f>
        <v>1561154.1672480002</v>
      </c>
      <c r="I172" s="225"/>
      <c r="J172" s="256"/>
      <c r="K172" s="1"/>
      <c r="L172" s="211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/>
      <c r="AF172" s="211"/>
      <c r="AG172" s="211"/>
      <c r="AH172" s="211"/>
      <c r="AI172" s="211"/>
      <c r="AJ172" s="211"/>
      <c r="AK172" s="211"/>
      <c r="AL172" s="211"/>
      <c r="AM172" s="211"/>
      <c r="AN172" s="211"/>
    </row>
    <row r="173" spans="1:40">
      <c r="A173" s="9">
        <f t="shared" si="5"/>
        <v>131</v>
      </c>
      <c r="B173" s="3"/>
      <c r="C173" s="97" t="s">
        <v>141</v>
      </c>
      <c r="D173" s="1" t="s">
        <v>142</v>
      </c>
      <c r="E173" s="1">
        <v>21692973</v>
      </c>
      <c r="F173" s="255">
        <v>0</v>
      </c>
      <c r="G173" s="255"/>
      <c r="H173" s="1">
        <f>E173*F173</f>
        <v>0</v>
      </c>
      <c r="I173" s="225"/>
      <c r="J173" s="254" t="s">
        <v>249</v>
      </c>
      <c r="K173" s="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1"/>
      <c r="AI173" s="211"/>
      <c r="AJ173" s="211"/>
      <c r="AK173" s="211"/>
      <c r="AL173" s="211"/>
      <c r="AM173" s="211"/>
      <c r="AN173" s="211"/>
    </row>
    <row r="174" spans="1:40" ht="15.75" thickBot="1">
      <c r="A174" s="9">
        <f t="shared" si="5"/>
        <v>132</v>
      </c>
      <c r="B174" s="3"/>
      <c r="C174" s="97" t="s">
        <v>143</v>
      </c>
      <c r="D174" s="1" t="s">
        <v>144</v>
      </c>
      <c r="E174" s="4">
        <v>-8646500</v>
      </c>
      <c r="F174" s="255">
        <v>0</v>
      </c>
      <c r="G174" s="255"/>
      <c r="H174" s="4">
        <f>E174*F174</f>
        <v>0</v>
      </c>
      <c r="I174" s="225"/>
      <c r="J174" s="184" t="s">
        <v>250</v>
      </c>
      <c r="K174" s="1"/>
      <c r="L174" s="211"/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211"/>
      <c r="AB174" s="211"/>
      <c r="AC174" s="211"/>
      <c r="AD174" s="211"/>
      <c r="AE174" s="211"/>
      <c r="AF174" s="211"/>
      <c r="AG174" s="211"/>
      <c r="AH174" s="211"/>
      <c r="AI174" s="211"/>
      <c r="AJ174" s="211"/>
      <c r="AK174" s="211"/>
      <c r="AL174" s="211"/>
      <c r="AM174" s="211"/>
      <c r="AN174" s="211"/>
    </row>
    <row r="175" spans="1:40">
      <c r="A175" s="9">
        <f t="shared" si="5"/>
        <v>133</v>
      </c>
      <c r="B175" s="3"/>
      <c r="C175" s="97" t="str">
        <f>"  Adjusted Total  (sum lines "&amp;A173&amp;"-"&amp;A174&amp;")"</f>
        <v xml:space="preserve">  Adjusted Total  (sum lines 131-132)</v>
      </c>
      <c r="D175" s="1"/>
      <c r="E175" s="1">
        <f>SUM(E173:E174)</f>
        <v>13046473</v>
      </c>
      <c r="F175" s="1"/>
      <c r="G175" s="3"/>
      <c r="H175" s="1">
        <f>SUM(H172:H174)</f>
        <v>1561154.1672480002</v>
      </c>
      <c r="I175" s="1" t="s">
        <v>92</v>
      </c>
      <c r="J175" s="217">
        <f>IF(E175&gt;0,+H175/E175,0)</f>
        <v>0.1196610123861062</v>
      </c>
      <c r="K175" s="186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  <c r="AA175" s="211"/>
      <c r="AB175" s="211"/>
      <c r="AC175" s="211"/>
      <c r="AD175" s="211"/>
      <c r="AE175" s="211"/>
      <c r="AF175" s="211"/>
      <c r="AG175" s="211"/>
      <c r="AH175" s="211"/>
      <c r="AI175" s="211"/>
      <c r="AJ175" s="211"/>
      <c r="AK175" s="211"/>
      <c r="AL175" s="211"/>
      <c r="AM175" s="211"/>
      <c r="AN175" s="211"/>
    </row>
    <row r="176" spans="1:40">
      <c r="A176" s="9">
        <f t="shared" si="5"/>
        <v>134</v>
      </c>
      <c r="B176" s="3"/>
      <c r="C176" s="97"/>
      <c r="D176" s="1"/>
      <c r="E176" s="1"/>
      <c r="F176" s="1"/>
      <c r="G176" s="1"/>
      <c r="H176" s="1"/>
      <c r="I176" s="1"/>
      <c r="J176" s="1"/>
      <c r="K176" s="1"/>
      <c r="L176" s="211"/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  <c r="Z176" s="211"/>
      <c r="AA176" s="211"/>
      <c r="AB176" s="211"/>
      <c r="AC176" s="211"/>
      <c r="AD176" s="211"/>
      <c r="AE176" s="211"/>
      <c r="AF176" s="211"/>
      <c r="AG176" s="211"/>
      <c r="AH176" s="211"/>
      <c r="AI176" s="211"/>
      <c r="AJ176" s="211"/>
      <c r="AK176" s="211"/>
      <c r="AL176" s="211"/>
      <c r="AM176" s="211"/>
      <c r="AN176" s="211"/>
    </row>
    <row r="177" spans="1:40">
      <c r="A177" s="9">
        <f t="shared" si="5"/>
        <v>135</v>
      </c>
      <c r="B177" s="3"/>
      <c r="C177" s="97" t="s">
        <v>128</v>
      </c>
      <c r="D177" s="1"/>
      <c r="E177" s="1"/>
      <c r="F177" s="1"/>
      <c r="G177" s="1"/>
      <c r="H177" s="1"/>
      <c r="I177" s="1"/>
      <c r="J177" s="1"/>
      <c r="K177" s="1"/>
      <c r="L177" s="211"/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  <c r="Z177" s="211"/>
      <c r="AA177" s="211"/>
      <c r="AB177" s="211"/>
      <c r="AC177" s="211"/>
      <c r="AD177" s="211"/>
      <c r="AE177" s="211"/>
      <c r="AF177" s="211"/>
      <c r="AG177" s="211"/>
      <c r="AH177" s="211"/>
      <c r="AI177" s="211"/>
      <c r="AJ177" s="211"/>
      <c r="AK177" s="211"/>
      <c r="AL177" s="211"/>
      <c r="AM177" s="211"/>
      <c r="AN177" s="211"/>
    </row>
    <row r="178" spans="1:40" ht="15.75" thickBot="1">
      <c r="A178" s="9">
        <f t="shared" si="5"/>
        <v>136</v>
      </c>
      <c r="B178" s="3"/>
      <c r="C178" s="97"/>
      <c r="D178" s="1"/>
      <c r="E178" s="253" t="s">
        <v>247</v>
      </c>
      <c r="F178" s="253" t="s">
        <v>254</v>
      </c>
      <c r="G178" s="222" t="s">
        <v>200</v>
      </c>
      <c r="H178" s="257" t="s">
        <v>131</v>
      </c>
      <c r="I178" s="235"/>
      <c r="J178" s="219"/>
      <c r="K178" s="3"/>
      <c r="L178" s="211"/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  <c r="AA178" s="211"/>
      <c r="AB178" s="211"/>
      <c r="AC178" s="211"/>
      <c r="AD178" s="211"/>
      <c r="AE178" s="211"/>
      <c r="AF178" s="211"/>
      <c r="AG178" s="211"/>
      <c r="AH178" s="211"/>
      <c r="AI178" s="211"/>
      <c r="AJ178" s="211"/>
      <c r="AK178" s="211"/>
      <c r="AL178" s="211"/>
      <c r="AM178" s="211"/>
      <c r="AN178" s="211"/>
    </row>
    <row r="179" spans="1:40">
      <c r="A179" s="9">
        <f t="shared" si="5"/>
        <v>137</v>
      </c>
      <c r="B179" s="3"/>
      <c r="C179" s="97" t="s">
        <v>129</v>
      </c>
      <c r="D179" s="87" t="s">
        <v>440</v>
      </c>
      <c r="E179" s="1">
        <f>J135-J154</f>
        <v>164705861.95594656</v>
      </c>
      <c r="F179" s="89">
        <f>IF(E181&gt;0,+E179/E181,0)</f>
        <v>0.38332852482263774</v>
      </c>
      <c r="G179" s="258">
        <f>+J143</f>
        <v>0.89197800000000005</v>
      </c>
      <c r="H179" s="259">
        <f>IF(F179&gt;0,+G179*F179,0)</f>
        <v>0.3419206109142468</v>
      </c>
      <c r="I179" s="260"/>
      <c r="J179" s="9"/>
      <c r="K179" s="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  <c r="AB179" s="211"/>
      <c r="AC179" s="211"/>
      <c r="AD179" s="211"/>
      <c r="AE179" s="211"/>
      <c r="AF179" s="211"/>
      <c r="AG179" s="211"/>
      <c r="AH179" s="211"/>
      <c r="AI179" s="211"/>
      <c r="AJ179" s="211"/>
      <c r="AK179" s="211"/>
      <c r="AL179" s="211"/>
      <c r="AM179" s="211"/>
      <c r="AN179" s="211"/>
    </row>
    <row r="180" spans="1:40">
      <c r="A180" s="9">
        <f t="shared" si="5"/>
        <v>138</v>
      </c>
      <c r="B180" s="3"/>
      <c r="C180" s="97" t="s">
        <v>130</v>
      </c>
      <c r="D180" s="87" t="s">
        <v>441</v>
      </c>
      <c r="E180" s="1">
        <f>J146-J164</f>
        <v>264966993.80701631</v>
      </c>
      <c r="F180" s="89">
        <f>IF(E181&gt;0,+E180/E181,0)</f>
        <v>0.6166714751773622</v>
      </c>
      <c r="G180" s="3"/>
      <c r="H180" s="233"/>
      <c r="I180" s="186"/>
      <c r="J180" s="233"/>
      <c r="K180" s="235"/>
      <c r="L180" s="211"/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  <c r="AA180" s="211"/>
      <c r="AB180" s="211"/>
      <c r="AC180" s="211"/>
      <c r="AD180" s="211"/>
      <c r="AE180" s="211"/>
      <c r="AF180" s="211"/>
      <c r="AG180" s="211"/>
      <c r="AH180" s="211"/>
      <c r="AI180" s="211"/>
      <c r="AJ180" s="211"/>
      <c r="AK180" s="211"/>
      <c r="AL180" s="211"/>
      <c r="AM180" s="211"/>
      <c r="AN180" s="211"/>
    </row>
    <row r="181" spans="1:40">
      <c r="A181" s="9">
        <f t="shared" si="5"/>
        <v>139</v>
      </c>
      <c r="B181" s="3"/>
      <c r="C181" s="97" t="str">
        <f>"  Total  (sum lines "&amp;A179&amp;" - "&amp;A180&amp;")"</f>
        <v xml:space="preserve">  Total  (sum lines 137 - 138)</v>
      </c>
      <c r="D181" s="1"/>
      <c r="E181" s="246">
        <f>SUM(E179:E180)</f>
        <v>429672855.76296288</v>
      </c>
      <c r="F181" s="261">
        <f>SUM(F179:F180)</f>
        <v>1</v>
      </c>
      <c r="G181" s="1"/>
      <c r="H181" s="1"/>
      <c r="I181" s="1" t="s">
        <v>132</v>
      </c>
      <c r="J181" s="262">
        <f>+H179</f>
        <v>0.3419206109142468</v>
      </c>
      <c r="K181" s="1"/>
      <c r="L181" s="211"/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  <c r="Z181" s="211"/>
      <c r="AA181" s="211"/>
      <c r="AB181" s="211"/>
      <c r="AC181" s="211"/>
      <c r="AD181" s="211"/>
      <c r="AE181" s="211"/>
      <c r="AF181" s="211"/>
      <c r="AG181" s="211"/>
      <c r="AH181" s="211"/>
      <c r="AI181" s="211"/>
      <c r="AJ181" s="211"/>
      <c r="AK181" s="211"/>
      <c r="AL181" s="211"/>
      <c r="AM181" s="211"/>
      <c r="AN181" s="211"/>
    </row>
    <row r="182" spans="1:40">
      <c r="A182" s="9">
        <f t="shared" si="5"/>
        <v>140</v>
      </c>
      <c r="B182" s="3"/>
      <c r="C182" s="97"/>
      <c r="D182" s="1"/>
      <c r="E182" s="3"/>
      <c r="F182" s="1"/>
      <c r="G182" s="1"/>
      <c r="H182" s="1"/>
      <c r="I182" s="1"/>
      <c r="J182" s="262"/>
      <c r="K182" s="1"/>
      <c r="L182" s="211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1"/>
      <c r="AA182" s="211"/>
      <c r="AB182" s="211"/>
      <c r="AC182" s="211"/>
      <c r="AD182" s="211"/>
      <c r="AE182" s="211"/>
      <c r="AF182" s="211"/>
      <c r="AG182" s="211"/>
      <c r="AH182" s="211"/>
      <c r="AI182" s="211"/>
      <c r="AJ182" s="211"/>
      <c r="AK182" s="211"/>
      <c r="AL182" s="211"/>
      <c r="AM182" s="211"/>
      <c r="AN182" s="211"/>
    </row>
    <row r="183" spans="1:40" s="265" customFormat="1" ht="15.75" thickBot="1">
      <c r="A183" s="9">
        <f t="shared" si="5"/>
        <v>141</v>
      </c>
      <c r="B183" s="263"/>
      <c r="C183" s="264" t="s">
        <v>252</v>
      </c>
      <c r="D183" s="222" t="s">
        <v>246</v>
      </c>
      <c r="E183" s="1"/>
      <c r="F183" s="1"/>
      <c r="G183" s="1"/>
      <c r="H183" s="1"/>
      <c r="I183" s="1"/>
      <c r="J183" s="253" t="s">
        <v>247</v>
      </c>
      <c r="K183" s="1"/>
    </row>
    <row r="184" spans="1:40">
      <c r="A184" s="9">
        <f t="shared" si="5"/>
        <v>142</v>
      </c>
      <c r="B184" s="263"/>
      <c r="C184" s="75" t="s">
        <v>329</v>
      </c>
      <c r="D184" s="1" t="s">
        <v>442</v>
      </c>
      <c r="E184" s="1"/>
      <c r="F184" s="1"/>
      <c r="G184" s="1"/>
      <c r="H184" s="1"/>
      <c r="I184" s="1"/>
      <c r="J184" s="19">
        <f>20258411+204228+275337+0</f>
        <v>20737976</v>
      </c>
      <c r="K184" s="1"/>
      <c r="L184" s="211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  <c r="AA184" s="211"/>
      <c r="AB184" s="211"/>
      <c r="AC184" s="211"/>
      <c r="AD184" s="211"/>
      <c r="AE184" s="211"/>
      <c r="AF184" s="211"/>
      <c r="AG184" s="211"/>
      <c r="AH184" s="211"/>
      <c r="AI184" s="211"/>
      <c r="AJ184" s="211"/>
      <c r="AK184" s="211"/>
      <c r="AL184" s="211"/>
      <c r="AM184" s="211"/>
      <c r="AN184" s="211"/>
    </row>
    <row r="185" spans="1:40">
      <c r="A185" s="9">
        <f t="shared" si="5"/>
        <v>143</v>
      </c>
      <c r="B185" s="265"/>
      <c r="C185" s="97"/>
      <c r="D185" s="1"/>
      <c r="E185" s="1"/>
      <c r="F185" s="1"/>
      <c r="G185" s="1"/>
      <c r="H185" s="1"/>
      <c r="I185" s="1"/>
      <c r="J185" s="1"/>
      <c r="K185" s="1"/>
      <c r="L185" s="211"/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1"/>
      <c r="AA185" s="211"/>
      <c r="AB185" s="211"/>
      <c r="AC185" s="211"/>
      <c r="AD185" s="211"/>
      <c r="AE185" s="211"/>
      <c r="AF185" s="211"/>
      <c r="AG185" s="211"/>
      <c r="AH185" s="211"/>
      <c r="AI185" s="211"/>
      <c r="AJ185" s="211"/>
      <c r="AK185" s="211"/>
      <c r="AL185" s="211"/>
      <c r="AM185" s="211"/>
      <c r="AN185" s="211"/>
    </row>
    <row r="186" spans="1:40">
      <c r="A186" s="9">
        <f t="shared" si="5"/>
        <v>144</v>
      </c>
      <c r="B186" s="263"/>
      <c r="C186" s="97" t="s">
        <v>330</v>
      </c>
      <c r="D186" s="1" t="s">
        <v>331</v>
      </c>
      <c r="E186" s="1"/>
      <c r="F186" s="1"/>
      <c r="G186" s="1"/>
      <c r="H186" s="1"/>
      <c r="I186" s="1"/>
      <c r="J186" s="19">
        <v>0</v>
      </c>
      <c r="K186" s="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  <c r="AA186" s="211"/>
      <c r="AB186" s="211"/>
      <c r="AC186" s="211"/>
      <c r="AD186" s="211"/>
      <c r="AE186" s="211"/>
      <c r="AF186" s="211"/>
      <c r="AG186" s="211"/>
      <c r="AH186" s="211"/>
      <c r="AI186" s="211"/>
      <c r="AJ186" s="211"/>
      <c r="AK186" s="211"/>
      <c r="AL186" s="211"/>
      <c r="AM186" s="211"/>
      <c r="AN186" s="211"/>
    </row>
    <row r="187" spans="1:40">
      <c r="A187" s="9">
        <f t="shared" si="5"/>
        <v>145</v>
      </c>
      <c r="B187" s="263"/>
      <c r="C187" s="97"/>
      <c r="D187" s="1"/>
      <c r="E187" s="1"/>
      <c r="F187" s="1"/>
      <c r="G187" s="1"/>
      <c r="H187" s="1"/>
      <c r="I187" s="1"/>
      <c r="J187" s="1"/>
      <c r="K187" s="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1"/>
      <c r="AA187" s="211"/>
      <c r="AB187" s="211"/>
      <c r="AC187" s="211"/>
      <c r="AD187" s="211"/>
      <c r="AE187" s="211"/>
      <c r="AF187" s="211"/>
      <c r="AG187" s="211"/>
      <c r="AH187" s="211"/>
      <c r="AI187" s="211"/>
      <c r="AJ187" s="211"/>
      <c r="AK187" s="211"/>
      <c r="AL187" s="211"/>
      <c r="AM187" s="211"/>
      <c r="AN187" s="211"/>
    </row>
    <row r="188" spans="1:40">
      <c r="A188" s="9">
        <f t="shared" si="5"/>
        <v>146</v>
      </c>
      <c r="B188" s="263"/>
      <c r="C188" s="264" t="s">
        <v>332</v>
      </c>
      <c r="D188" s="222" t="s">
        <v>246</v>
      </c>
      <c r="E188" s="1"/>
      <c r="F188" s="1"/>
      <c r="G188" s="1"/>
      <c r="H188" s="1"/>
      <c r="I188" s="1"/>
      <c r="J188" s="1"/>
      <c r="K188" s="1"/>
      <c r="L188" s="211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  <c r="Z188" s="211"/>
      <c r="AA188" s="211"/>
      <c r="AB188" s="211"/>
      <c r="AC188" s="211"/>
      <c r="AD188" s="211"/>
      <c r="AE188" s="211"/>
      <c r="AF188" s="211"/>
      <c r="AG188" s="211"/>
      <c r="AH188" s="211"/>
      <c r="AI188" s="211"/>
      <c r="AJ188" s="211"/>
      <c r="AK188" s="211"/>
      <c r="AL188" s="211"/>
      <c r="AM188" s="211"/>
      <c r="AN188" s="211"/>
    </row>
    <row r="189" spans="1:40">
      <c r="A189" s="9">
        <f t="shared" si="5"/>
        <v>147</v>
      </c>
      <c r="B189" s="263"/>
      <c r="C189" s="97" t="s">
        <v>22</v>
      </c>
      <c r="D189" s="1" t="s">
        <v>333</v>
      </c>
      <c r="E189" s="75"/>
      <c r="F189" s="1"/>
      <c r="G189" s="1"/>
      <c r="H189" s="1"/>
      <c r="I189" s="1"/>
      <c r="J189" s="19">
        <v>404245264</v>
      </c>
      <c r="K189" s="1"/>
      <c r="L189" s="211"/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  <c r="Z189" s="211"/>
      <c r="AA189" s="211"/>
      <c r="AB189" s="211"/>
      <c r="AC189" s="211"/>
      <c r="AD189" s="211"/>
      <c r="AE189" s="211"/>
      <c r="AF189" s="211"/>
      <c r="AG189" s="211"/>
      <c r="AH189" s="211"/>
      <c r="AI189" s="211"/>
      <c r="AJ189" s="211"/>
      <c r="AK189" s="211"/>
      <c r="AL189" s="211"/>
      <c r="AM189" s="211"/>
      <c r="AN189" s="211"/>
    </row>
    <row r="190" spans="1:40">
      <c r="A190" s="9">
        <f t="shared" si="5"/>
        <v>148</v>
      </c>
      <c r="B190" s="263"/>
      <c r="C190" s="97" t="s">
        <v>334</v>
      </c>
      <c r="D190" s="1" t="s">
        <v>335</v>
      </c>
      <c r="E190" s="1"/>
      <c r="F190" s="1"/>
      <c r="G190" s="1"/>
      <c r="H190" s="1"/>
      <c r="I190" s="1"/>
      <c r="J190" s="19">
        <v>0</v>
      </c>
      <c r="K190" s="1"/>
      <c r="L190" s="211"/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  <c r="AA190" s="211"/>
      <c r="AB190" s="211"/>
      <c r="AC190" s="211"/>
      <c r="AD190" s="211"/>
      <c r="AE190" s="211"/>
      <c r="AF190" s="211"/>
      <c r="AG190" s="211"/>
      <c r="AH190" s="211"/>
      <c r="AI190" s="211"/>
      <c r="AJ190" s="211"/>
      <c r="AK190" s="211"/>
      <c r="AL190" s="211"/>
      <c r="AM190" s="211"/>
      <c r="AN190" s="211"/>
    </row>
    <row r="191" spans="1:40">
      <c r="A191" s="9">
        <f t="shared" si="5"/>
        <v>149</v>
      </c>
      <c r="B191" s="263"/>
      <c r="C191" s="97" t="s">
        <v>336</v>
      </c>
      <c r="D191" s="1" t="s">
        <v>337</v>
      </c>
      <c r="E191" s="1"/>
      <c r="F191" s="1"/>
      <c r="G191" s="1"/>
      <c r="H191" s="1"/>
      <c r="I191" s="1"/>
      <c r="J191" s="47">
        <v>0</v>
      </c>
      <c r="K191" s="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  <c r="AB191" s="211"/>
      <c r="AC191" s="211"/>
      <c r="AD191" s="211"/>
      <c r="AE191" s="211"/>
      <c r="AF191" s="211"/>
      <c r="AG191" s="211"/>
      <c r="AH191" s="211"/>
      <c r="AI191" s="211"/>
      <c r="AJ191" s="211"/>
      <c r="AK191" s="211"/>
      <c r="AL191" s="211"/>
      <c r="AM191" s="211"/>
      <c r="AN191" s="211"/>
    </row>
    <row r="192" spans="1:40" ht="15.75" thickBot="1">
      <c r="A192" s="9">
        <f t="shared" si="5"/>
        <v>150</v>
      </c>
      <c r="B192" s="263"/>
      <c r="C192" s="97" t="s">
        <v>338</v>
      </c>
      <c r="D192" s="1" t="s">
        <v>339</v>
      </c>
      <c r="E192" s="1"/>
      <c r="F192" s="1"/>
      <c r="G192" s="1"/>
      <c r="H192" s="1"/>
      <c r="I192" s="1"/>
      <c r="J192" s="221">
        <v>891260</v>
      </c>
      <c r="K192" s="1"/>
      <c r="L192" s="211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  <c r="Z192" s="211"/>
      <c r="AA192" s="211"/>
      <c r="AB192" s="211"/>
      <c r="AC192" s="211"/>
      <c r="AD192" s="211"/>
      <c r="AE192" s="211"/>
      <c r="AF192" s="211"/>
      <c r="AG192" s="211"/>
      <c r="AH192" s="211"/>
      <c r="AI192" s="211"/>
      <c r="AJ192" s="211"/>
      <c r="AK192" s="211"/>
      <c r="AL192" s="211"/>
      <c r="AM192" s="211"/>
      <c r="AN192" s="211"/>
    </row>
    <row r="193" spans="1:40">
      <c r="A193" s="9">
        <f t="shared" si="5"/>
        <v>151</v>
      </c>
      <c r="B193" s="263"/>
      <c r="C193" s="266" t="s">
        <v>340</v>
      </c>
      <c r="D193" s="1"/>
      <c r="E193" s="75" t="str">
        <f>"(sum lines "&amp;A189&amp;"-"&amp;A192&amp;")"</f>
        <v>(sum lines 147-150)</v>
      </c>
      <c r="F193" s="75"/>
      <c r="G193" s="75"/>
      <c r="H193" s="75"/>
      <c r="I193" s="75"/>
      <c r="J193" s="19">
        <f>SUM(J189:J192)</f>
        <v>405136524</v>
      </c>
      <c r="K193" s="1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  <c r="AA193" s="211"/>
      <c r="AB193" s="211"/>
      <c r="AC193" s="211"/>
      <c r="AD193" s="211"/>
      <c r="AE193" s="211"/>
      <c r="AF193" s="211"/>
      <c r="AG193" s="211"/>
      <c r="AH193" s="211"/>
      <c r="AI193" s="211"/>
      <c r="AJ193" s="211"/>
      <c r="AK193" s="211"/>
      <c r="AL193" s="211"/>
      <c r="AM193" s="211"/>
      <c r="AN193" s="211"/>
    </row>
    <row r="194" spans="1:40">
      <c r="A194" s="9">
        <f t="shared" si="5"/>
        <v>152</v>
      </c>
      <c r="B194" s="3"/>
      <c r="C194" s="97"/>
      <c r="D194" s="1"/>
      <c r="E194" s="1"/>
      <c r="F194" s="1"/>
      <c r="G194" s="1"/>
      <c r="H194" s="186"/>
      <c r="I194" s="1"/>
      <c r="J194" s="1"/>
      <c r="K194" s="1"/>
      <c r="L194" s="211"/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  <c r="AA194" s="211"/>
      <c r="AB194" s="211"/>
      <c r="AC194" s="211"/>
      <c r="AD194" s="211"/>
      <c r="AE194" s="211"/>
      <c r="AF194" s="211"/>
      <c r="AG194" s="211"/>
      <c r="AH194" s="211"/>
      <c r="AI194" s="211"/>
      <c r="AJ194" s="211"/>
      <c r="AK194" s="211"/>
      <c r="AL194" s="211"/>
      <c r="AM194" s="211"/>
      <c r="AN194" s="211"/>
    </row>
    <row r="195" spans="1:40" ht="15.75" thickBot="1">
      <c r="A195" s="9">
        <f t="shared" si="5"/>
        <v>153</v>
      </c>
      <c r="B195" s="3"/>
      <c r="C195" s="97"/>
      <c r="D195" s="4" t="s">
        <v>246</v>
      </c>
      <c r="E195" s="267" t="s">
        <v>247</v>
      </c>
      <c r="F195" s="184" t="s">
        <v>254</v>
      </c>
      <c r="G195" s="1"/>
      <c r="H195" s="184" t="s">
        <v>253</v>
      </c>
      <c r="I195" s="1"/>
      <c r="J195" s="184" t="s">
        <v>255</v>
      </c>
      <c r="K195" s="1"/>
      <c r="L195" s="211"/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  <c r="Z195" s="211"/>
      <c r="AA195" s="211"/>
      <c r="AB195" s="211"/>
      <c r="AC195" s="211"/>
      <c r="AD195" s="211"/>
      <c r="AE195" s="211"/>
      <c r="AF195" s="211"/>
      <c r="AG195" s="211"/>
      <c r="AH195" s="211"/>
      <c r="AI195" s="211"/>
      <c r="AJ195" s="211"/>
      <c r="AK195" s="211"/>
      <c r="AL195" s="211"/>
      <c r="AM195" s="211"/>
      <c r="AN195" s="211"/>
    </row>
    <row r="196" spans="1:40">
      <c r="A196" s="9">
        <f t="shared" si="5"/>
        <v>154</v>
      </c>
      <c r="B196" s="3"/>
      <c r="C196" s="96" t="s">
        <v>327</v>
      </c>
      <c r="D196" s="20" t="s">
        <v>391</v>
      </c>
      <c r="E196" s="1">
        <v>342772890</v>
      </c>
      <c r="F196" s="88">
        <v>0.43</v>
      </c>
      <c r="G196" s="268"/>
      <c r="H196" s="89">
        <f>IF(E196&gt;0,+J184/E196,0)</f>
        <v>6.0500630607047134E-2</v>
      </c>
      <c r="I196" s="3"/>
      <c r="J196" s="89">
        <f>H196*F196</f>
        <v>2.6015271161030269E-2</v>
      </c>
      <c r="K196" s="269"/>
      <c r="L196" s="211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  <c r="Z196" s="211"/>
      <c r="AA196" s="211"/>
      <c r="AB196" s="211"/>
      <c r="AC196" s="211"/>
      <c r="AD196" s="211"/>
      <c r="AE196" s="211"/>
      <c r="AF196" s="211"/>
      <c r="AG196" s="211"/>
      <c r="AH196" s="211"/>
      <c r="AI196" s="211"/>
      <c r="AJ196" s="211"/>
      <c r="AK196" s="211"/>
      <c r="AL196" s="211"/>
      <c r="AM196" s="211"/>
      <c r="AN196" s="211"/>
    </row>
    <row r="197" spans="1:40">
      <c r="A197" s="9">
        <f t="shared" si="5"/>
        <v>155</v>
      </c>
      <c r="B197" s="3"/>
      <c r="C197" s="96" t="s">
        <v>328</v>
      </c>
      <c r="D197" s="216" t="s">
        <v>335</v>
      </c>
      <c r="E197" s="1"/>
      <c r="F197" s="88">
        <f>IF($E$199&gt;0,E197/$E$199,0)</f>
        <v>0</v>
      </c>
      <c r="G197" s="268"/>
      <c r="H197" s="89">
        <f>IF(E197&gt;0,J186/E197,0)</f>
        <v>0</v>
      </c>
      <c r="I197" s="3"/>
      <c r="J197" s="89">
        <f>H197*F197</f>
        <v>0</v>
      </c>
      <c r="K197" s="1"/>
      <c r="L197" s="211"/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  <c r="Z197" s="211"/>
      <c r="AA197" s="211"/>
      <c r="AB197" s="211"/>
      <c r="AC197" s="211"/>
      <c r="AD197" s="211"/>
      <c r="AE197" s="211"/>
      <c r="AF197" s="211"/>
      <c r="AG197" s="211"/>
      <c r="AH197" s="211"/>
      <c r="AI197" s="211"/>
      <c r="AJ197" s="211"/>
      <c r="AK197" s="211"/>
      <c r="AL197" s="211"/>
      <c r="AM197" s="211"/>
      <c r="AN197" s="211"/>
    </row>
    <row r="198" spans="1:40" ht="15.75" thickBot="1">
      <c r="A198" s="9">
        <f t="shared" si="5"/>
        <v>156</v>
      </c>
      <c r="B198" s="3"/>
      <c r="C198" s="266" t="s">
        <v>341</v>
      </c>
      <c r="D198" s="216" t="str">
        <f>"(see above line "&amp;A193&amp;")"</f>
        <v>(see above line 151)</v>
      </c>
      <c r="E198" s="4">
        <f>+J193</f>
        <v>405136524</v>
      </c>
      <c r="F198" s="88">
        <v>0.56999999999999995</v>
      </c>
      <c r="G198" s="3" t="s">
        <v>172</v>
      </c>
      <c r="H198" s="89">
        <v>0.108</v>
      </c>
      <c r="I198" s="3" t="s">
        <v>172</v>
      </c>
      <c r="J198" s="270">
        <f>H198*F198</f>
        <v>6.1559999999999997E-2</v>
      </c>
      <c r="K198" s="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  <c r="AB198" s="211"/>
      <c r="AC198" s="211"/>
      <c r="AD198" s="211"/>
      <c r="AE198" s="211"/>
      <c r="AF198" s="211"/>
      <c r="AG198" s="211"/>
      <c r="AH198" s="211"/>
      <c r="AI198" s="211"/>
      <c r="AJ198" s="211"/>
      <c r="AK198" s="211"/>
      <c r="AL198" s="211"/>
      <c r="AM198" s="211"/>
      <c r="AN198" s="211"/>
    </row>
    <row r="199" spans="1:40">
      <c r="A199" s="9">
        <f t="shared" si="5"/>
        <v>157</v>
      </c>
      <c r="B199" s="3"/>
      <c r="C199" s="97" t="str">
        <f>"Total  (sum lines "&amp;A196&amp;"-"&amp;A198&amp;")"</f>
        <v>Total  (sum lines 154-156)</v>
      </c>
      <c r="D199" s="3"/>
      <c r="E199" s="1">
        <f>E198+E197+E196</f>
        <v>747909414</v>
      </c>
      <c r="F199" s="1" t="s">
        <v>194</v>
      </c>
      <c r="G199" s="1"/>
      <c r="H199" s="1"/>
      <c r="I199" s="1" t="s">
        <v>357</v>
      </c>
      <c r="J199" s="89">
        <f>SUM(J196:J198)</f>
        <v>8.7575271161030269E-2</v>
      </c>
      <c r="K199" s="269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  <c r="AB199" s="211"/>
      <c r="AC199" s="211"/>
      <c r="AD199" s="211"/>
      <c r="AE199" s="211"/>
      <c r="AF199" s="211"/>
      <c r="AG199" s="211"/>
      <c r="AH199" s="211"/>
      <c r="AI199" s="211"/>
      <c r="AJ199" s="211"/>
      <c r="AK199" s="211"/>
      <c r="AL199" s="211"/>
      <c r="AM199" s="211"/>
      <c r="AN199" s="211"/>
    </row>
    <row r="200" spans="1:40">
      <c r="A200" s="9"/>
      <c r="B200" s="3"/>
      <c r="C200" s="97"/>
      <c r="D200" s="3"/>
      <c r="E200" s="1"/>
      <c r="F200" s="1"/>
      <c r="G200" s="1"/>
      <c r="H200" s="1"/>
      <c r="I200" s="86" t="s">
        <v>418</v>
      </c>
      <c r="J200" s="271">
        <f>J1</f>
        <v>43982</v>
      </c>
      <c r="K200" s="269"/>
      <c r="L200" s="211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  <c r="AA200" s="211"/>
      <c r="AB200" s="211"/>
      <c r="AC200" s="211"/>
      <c r="AD200" s="211"/>
      <c r="AE200" s="211"/>
      <c r="AF200" s="211"/>
      <c r="AG200" s="211"/>
      <c r="AH200" s="211"/>
      <c r="AI200" s="211"/>
      <c r="AJ200" s="211"/>
      <c r="AK200" s="211"/>
      <c r="AL200" s="211"/>
      <c r="AM200" s="211"/>
      <c r="AN200" s="211"/>
    </row>
    <row r="201" spans="1:40">
      <c r="A201" s="3"/>
      <c r="B201" s="3"/>
      <c r="C201" s="3"/>
      <c r="D201" s="3"/>
      <c r="E201" s="3"/>
      <c r="F201" s="1"/>
      <c r="G201" s="1"/>
      <c r="I201" s="175" t="str">
        <f>$I$2</f>
        <v>Service Year</v>
      </c>
      <c r="J201" s="75">
        <f>$J$2</f>
        <v>2019</v>
      </c>
      <c r="L201" s="211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  <c r="AA201" s="211"/>
      <c r="AB201" s="211"/>
      <c r="AC201" s="211"/>
      <c r="AD201" s="211"/>
      <c r="AE201" s="211"/>
      <c r="AF201" s="211"/>
      <c r="AG201" s="211"/>
      <c r="AH201" s="211"/>
      <c r="AI201" s="211"/>
      <c r="AJ201" s="211"/>
      <c r="AK201" s="211"/>
      <c r="AL201" s="211"/>
      <c r="AM201" s="211"/>
      <c r="AN201" s="211"/>
    </row>
    <row r="202" spans="1:40">
      <c r="A202" s="9"/>
      <c r="B202" s="3"/>
      <c r="C202" s="97"/>
      <c r="D202" s="75"/>
      <c r="E202" s="1"/>
      <c r="F202" s="1"/>
      <c r="G202" s="1"/>
      <c r="H202" s="1"/>
      <c r="I202" s="75"/>
      <c r="J202" s="1"/>
      <c r="K202" s="75"/>
      <c r="L202" s="211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  <c r="AA202" s="211"/>
      <c r="AB202" s="211"/>
      <c r="AC202" s="211"/>
      <c r="AD202" s="211"/>
      <c r="AE202" s="211"/>
      <c r="AF202" s="211"/>
      <c r="AG202" s="211"/>
      <c r="AH202" s="211"/>
      <c r="AI202" s="211"/>
      <c r="AJ202" s="211"/>
      <c r="AK202" s="211"/>
      <c r="AL202" s="211"/>
      <c r="AM202" s="211"/>
      <c r="AN202" s="211"/>
    </row>
    <row r="203" spans="1:40" ht="15.75">
      <c r="A203" s="336" t="s">
        <v>321</v>
      </c>
      <c r="B203" s="336"/>
      <c r="C203" s="336"/>
      <c r="D203" s="336"/>
      <c r="E203" s="336"/>
      <c r="F203" s="336"/>
      <c r="G203" s="336"/>
      <c r="H203" s="336"/>
      <c r="I203" s="336"/>
      <c r="J203" s="336"/>
      <c r="K203" s="336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  <c r="AA203" s="211"/>
      <c r="AB203" s="211"/>
      <c r="AC203" s="211"/>
      <c r="AD203" s="211"/>
      <c r="AE203" s="211"/>
      <c r="AF203" s="211"/>
      <c r="AG203" s="211"/>
      <c r="AH203" s="211"/>
      <c r="AI203" s="211"/>
      <c r="AJ203" s="211"/>
      <c r="AK203" s="211"/>
      <c r="AL203" s="211"/>
      <c r="AM203" s="211"/>
      <c r="AN203" s="211"/>
    </row>
    <row r="204" spans="1:40" ht="15.75">
      <c r="A204" s="337" t="s">
        <v>195</v>
      </c>
      <c r="B204" s="337"/>
      <c r="C204" s="337"/>
      <c r="D204" s="337"/>
      <c r="E204" s="337"/>
      <c r="F204" s="337"/>
      <c r="G204" s="337"/>
      <c r="H204" s="337"/>
      <c r="I204" s="337"/>
      <c r="J204" s="337"/>
      <c r="K204" s="337"/>
      <c r="L204" s="211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  <c r="AA204" s="211"/>
      <c r="AB204" s="211"/>
      <c r="AC204" s="211"/>
      <c r="AD204" s="211"/>
      <c r="AE204" s="211"/>
      <c r="AF204" s="211"/>
      <c r="AG204" s="211"/>
      <c r="AH204" s="211"/>
      <c r="AI204" s="211"/>
      <c r="AJ204" s="211"/>
      <c r="AK204" s="211"/>
      <c r="AL204" s="211"/>
      <c r="AM204" s="211"/>
      <c r="AN204" s="211"/>
    </row>
    <row r="205" spans="1:40">
      <c r="A205" s="3"/>
      <c r="B205" s="3"/>
      <c r="C205" s="75"/>
      <c r="D205" s="75"/>
      <c r="F205" s="75"/>
      <c r="G205" s="75"/>
      <c r="H205" s="75"/>
      <c r="I205" s="75"/>
      <c r="J205" s="75"/>
      <c r="K205" s="75"/>
      <c r="L205" s="211"/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  <c r="AA205" s="211"/>
      <c r="AB205" s="211"/>
      <c r="AC205" s="211"/>
      <c r="AD205" s="211"/>
      <c r="AE205" s="211"/>
      <c r="AF205" s="211"/>
      <c r="AG205" s="211"/>
      <c r="AH205" s="211"/>
      <c r="AI205" s="211"/>
      <c r="AJ205" s="211"/>
      <c r="AK205" s="211"/>
      <c r="AL205" s="211"/>
      <c r="AM205" s="211"/>
      <c r="AN205" s="211"/>
    </row>
    <row r="206" spans="1:40" ht="15.75">
      <c r="A206" s="338" t="s">
        <v>320</v>
      </c>
      <c r="B206" s="338"/>
      <c r="C206" s="338"/>
      <c r="D206" s="338"/>
      <c r="E206" s="338"/>
      <c r="F206" s="338"/>
      <c r="G206" s="338"/>
      <c r="H206" s="338"/>
      <c r="I206" s="338"/>
      <c r="J206" s="338"/>
      <c r="K206" s="338"/>
      <c r="L206" s="211"/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  <c r="AA206" s="211"/>
      <c r="AB206" s="211"/>
      <c r="AC206" s="211"/>
      <c r="AD206" s="211"/>
      <c r="AE206" s="211"/>
      <c r="AF206" s="211"/>
      <c r="AG206" s="211"/>
      <c r="AH206" s="211"/>
      <c r="AI206" s="211"/>
      <c r="AJ206" s="211"/>
      <c r="AK206" s="211"/>
      <c r="AL206" s="211"/>
      <c r="AM206" s="211"/>
      <c r="AN206" s="211"/>
    </row>
    <row r="207" spans="1:40">
      <c r="A207" s="9"/>
      <c r="B207" s="2"/>
      <c r="C207" s="272"/>
      <c r="D207" s="9"/>
      <c r="E207" s="1"/>
      <c r="F207" s="1"/>
      <c r="G207" s="1"/>
      <c r="H207" s="1"/>
      <c r="I207" s="2"/>
      <c r="J207" s="273"/>
      <c r="K207" s="274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  <c r="AB207" s="211"/>
      <c r="AC207" s="211"/>
      <c r="AD207" s="211"/>
      <c r="AE207" s="211"/>
      <c r="AF207" s="211"/>
      <c r="AG207" s="211"/>
      <c r="AH207" s="211"/>
      <c r="AI207" s="211"/>
      <c r="AJ207" s="211"/>
      <c r="AK207" s="211"/>
      <c r="AL207" s="211"/>
      <c r="AM207" s="211"/>
      <c r="AN207" s="211"/>
    </row>
    <row r="208" spans="1:40">
      <c r="A208" s="3"/>
      <c r="B208" s="2"/>
      <c r="C208" s="96"/>
      <c r="D208" s="9"/>
      <c r="E208" s="1"/>
      <c r="F208" s="1"/>
      <c r="G208" s="1"/>
      <c r="H208" s="1"/>
      <c r="I208" s="2"/>
      <c r="J208" s="1"/>
      <c r="K208" s="2"/>
      <c r="L208" s="211"/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  <c r="AA208" s="211"/>
      <c r="AB208" s="211"/>
      <c r="AC208" s="211"/>
      <c r="AD208" s="211"/>
      <c r="AE208" s="211"/>
      <c r="AF208" s="211"/>
      <c r="AG208" s="211"/>
      <c r="AH208" s="211"/>
      <c r="AI208" s="211"/>
      <c r="AJ208" s="211"/>
      <c r="AK208" s="211"/>
      <c r="AL208" s="211"/>
      <c r="AM208" s="211"/>
      <c r="AN208" s="211"/>
    </row>
    <row r="209" spans="1:40">
      <c r="A209" s="9"/>
      <c r="B209" s="2"/>
      <c r="C209" s="96"/>
      <c r="D209" s="9"/>
      <c r="E209" s="1"/>
      <c r="F209" s="1"/>
      <c r="G209" s="1"/>
      <c r="H209" s="1"/>
      <c r="I209" s="2"/>
      <c r="J209" s="1"/>
      <c r="K209" s="2"/>
      <c r="L209" s="211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1"/>
      <c r="AK209" s="211"/>
      <c r="AL209" s="211"/>
      <c r="AM209" s="211"/>
      <c r="AN209" s="211"/>
    </row>
    <row r="210" spans="1:40">
      <c r="A210" s="9"/>
      <c r="B210" s="2"/>
      <c r="C210" s="96"/>
      <c r="D210" s="9"/>
      <c r="E210" s="1"/>
      <c r="F210" s="1"/>
      <c r="G210" s="1"/>
      <c r="H210" s="1"/>
      <c r="I210" s="2"/>
      <c r="J210" s="1"/>
      <c r="K210" s="2"/>
      <c r="L210" s="211"/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1"/>
      <c r="AK210" s="211"/>
      <c r="AL210" s="211"/>
      <c r="AM210" s="211"/>
      <c r="AN210" s="211"/>
    </row>
    <row r="211" spans="1:40">
      <c r="A211" s="9" t="s">
        <v>256</v>
      </c>
      <c r="B211" s="2"/>
      <c r="C211" s="96"/>
      <c r="D211" s="2"/>
      <c r="E211" s="1"/>
      <c r="F211" s="1"/>
      <c r="G211" s="1"/>
      <c r="H211" s="1"/>
      <c r="I211" s="2"/>
      <c r="J211" s="1"/>
      <c r="K211" s="2"/>
      <c r="L211" s="211"/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1"/>
      <c r="AK211" s="211"/>
      <c r="AL211" s="211"/>
      <c r="AM211" s="211"/>
      <c r="AN211" s="211"/>
    </row>
    <row r="212" spans="1:40" ht="15.75" thickBot="1">
      <c r="A212" s="184" t="s">
        <v>257</v>
      </c>
      <c r="B212" s="2"/>
      <c r="C212" s="96"/>
      <c r="D212" s="2"/>
      <c r="E212" s="1"/>
      <c r="F212" s="1"/>
      <c r="G212" s="1"/>
      <c r="H212" s="1"/>
      <c r="I212" s="2"/>
      <c r="J212" s="1"/>
      <c r="K212" s="2"/>
      <c r="L212" s="211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1"/>
      <c r="AK212" s="211"/>
      <c r="AL212" s="211"/>
      <c r="AM212" s="211"/>
      <c r="AN212" s="211"/>
    </row>
    <row r="213" spans="1:40">
      <c r="A213" s="9"/>
      <c r="B213" s="2"/>
      <c r="C213" s="96"/>
      <c r="D213" s="2"/>
      <c r="E213" s="1"/>
      <c r="F213" s="1"/>
      <c r="G213" s="1"/>
      <c r="H213" s="1"/>
      <c r="I213" s="2"/>
      <c r="J213" s="1"/>
      <c r="K213" s="2"/>
      <c r="L213" s="211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/>
      <c r="AF213" s="211"/>
      <c r="AG213" s="211"/>
      <c r="AH213" s="211"/>
      <c r="AI213" s="211"/>
      <c r="AJ213" s="211"/>
      <c r="AK213" s="211"/>
      <c r="AL213" s="211"/>
      <c r="AM213" s="211"/>
      <c r="AN213" s="211"/>
    </row>
    <row r="214" spans="1:40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11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1"/>
      <c r="AK214" s="211"/>
      <c r="AL214" s="211"/>
      <c r="AM214" s="211"/>
      <c r="AN214" s="211"/>
    </row>
    <row r="215" spans="1:40">
      <c r="A215" s="9" t="s">
        <v>258</v>
      </c>
      <c r="B215" s="2"/>
      <c r="C215" s="2" t="s">
        <v>359</v>
      </c>
      <c r="D215" s="2"/>
      <c r="E215" s="2"/>
      <c r="F215" s="2"/>
      <c r="G215" s="2"/>
      <c r="H215" s="2"/>
      <c r="I215" s="2"/>
      <c r="J215" s="2"/>
      <c r="K215" s="2"/>
      <c r="L215" s="211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  <c r="Z215" s="211"/>
      <c r="AA215" s="211"/>
      <c r="AB215" s="211"/>
      <c r="AC215" s="211"/>
      <c r="AD215" s="211"/>
      <c r="AE215" s="211"/>
      <c r="AF215" s="211"/>
      <c r="AG215" s="211"/>
      <c r="AH215" s="211"/>
      <c r="AI215" s="211"/>
      <c r="AJ215" s="211"/>
      <c r="AK215" s="211"/>
      <c r="AL215" s="211"/>
      <c r="AM215" s="211"/>
      <c r="AN215" s="211"/>
    </row>
    <row r="216" spans="1:40">
      <c r="A216" s="9"/>
      <c r="B216" s="2"/>
      <c r="C216" s="2" t="s">
        <v>84</v>
      </c>
      <c r="D216" s="2"/>
      <c r="E216" s="2"/>
      <c r="F216" s="2"/>
      <c r="G216" s="2"/>
      <c r="H216" s="2"/>
      <c r="I216" s="2"/>
      <c r="J216" s="2"/>
      <c r="K216" s="2"/>
      <c r="L216" s="211"/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  <c r="Z216" s="211"/>
      <c r="AA216" s="211"/>
      <c r="AB216" s="211"/>
      <c r="AC216" s="211"/>
      <c r="AD216" s="211"/>
      <c r="AE216" s="211"/>
      <c r="AF216" s="211"/>
      <c r="AG216" s="211"/>
      <c r="AH216" s="211"/>
      <c r="AI216" s="211"/>
      <c r="AJ216" s="211"/>
      <c r="AK216" s="211"/>
      <c r="AL216" s="211"/>
      <c r="AM216" s="211"/>
      <c r="AN216" s="211"/>
    </row>
    <row r="217" spans="1:40">
      <c r="A217" s="9"/>
      <c r="B217" s="2"/>
      <c r="C217" s="2" t="s">
        <v>112</v>
      </c>
      <c r="D217" s="2"/>
      <c r="E217" s="2"/>
      <c r="F217" s="2"/>
      <c r="G217" s="2"/>
      <c r="H217" s="2"/>
      <c r="I217" s="2"/>
      <c r="J217" s="2"/>
      <c r="K217" s="2"/>
      <c r="L217" s="211"/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  <c r="Z217" s="211"/>
      <c r="AA217" s="211"/>
      <c r="AB217" s="211"/>
      <c r="AC217" s="211"/>
      <c r="AD217" s="211"/>
      <c r="AE217" s="211"/>
      <c r="AF217" s="211"/>
      <c r="AG217" s="211"/>
      <c r="AH217" s="211"/>
      <c r="AI217" s="211"/>
      <c r="AJ217" s="211"/>
      <c r="AK217" s="211"/>
      <c r="AL217" s="211"/>
      <c r="AM217" s="211"/>
      <c r="AN217" s="211"/>
    </row>
    <row r="218" spans="1:40">
      <c r="A218" s="9" t="s">
        <v>259</v>
      </c>
      <c r="B218" s="2"/>
      <c r="C218" s="2" t="s">
        <v>265</v>
      </c>
      <c r="D218" s="2"/>
      <c r="E218" s="2"/>
      <c r="F218" s="2"/>
      <c r="G218" s="2"/>
      <c r="H218" s="2"/>
      <c r="I218" s="2"/>
      <c r="J218" s="2"/>
      <c r="K218" s="2"/>
      <c r="L218" s="211"/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  <c r="AA218" s="211"/>
      <c r="AB218" s="211"/>
      <c r="AC218" s="211"/>
      <c r="AD218" s="211"/>
      <c r="AE218" s="211"/>
      <c r="AF218" s="211"/>
      <c r="AG218" s="211"/>
      <c r="AH218" s="211"/>
      <c r="AI218" s="211"/>
      <c r="AJ218" s="211"/>
      <c r="AK218" s="211"/>
      <c r="AL218" s="211"/>
      <c r="AM218" s="211"/>
      <c r="AN218" s="211"/>
    </row>
    <row r="219" spans="1:40">
      <c r="A219" s="9" t="s">
        <v>260</v>
      </c>
      <c r="B219" s="2"/>
      <c r="C219" s="2" t="s">
        <v>76</v>
      </c>
      <c r="D219" s="2"/>
      <c r="E219" s="2"/>
      <c r="F219" s="2"/>
      <c r="G219" s="2"/>
      <c r="H219" s="2"/>
      <c r="I219" s="2"/>
      <c r="J219" s="2"/>
      <c r="K219" s="2"/>
      <c r="L219" s="211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  <c r="AA219" s="211"/>
      <c r="AB219" s="211"/>
      <c r="AC219" s="211"/>
      <c r="AD219" s="211"/>
      <c r="AE219" s="211"/>
      <c r="AF219" s="211"/>
      <c r="AG219" s="211"/>
      <c r="AH219" s="211"/>
      <c r="AI219" s="211"/>
      <c r="AJ219" s="211"/>
      <c r="AK219" s="211"/>
      <c r="AL219" s="211"/>
      <c r="AM219" s="211"/>
      <c r="AN219" s="211"/>
    </row>
    <row r="220" spans="1:40">
      <c r="A220" s="9" t="s">
        <v>261</v>
      </c>
      <c r="B220" s="2"/>
      <c r="C220" s="2" t="s">
        <v>85</v>
      </c>
      <c r="D220" s="2"/>
      <c r="E220" s="2"/>
      <c r="F220" s="2"/>
      <c r="G220" s="2"/>
      <c r="H220" s="2"/>
      <c r="I220" s="2"/>
      <c r="J220" s="2"/>
      <c r="K220" s="2"/>
      <c r="L220" s="211"/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  <c r="AA220" s="211"/>
      <c r="AB220" s="211"/>
      <c r="AC220" s="211"/>
      <c r="AD220" s="211"/>
      <c r="AE220" s="211"/>
      <c r="AF220" s="211"/>
      <c r="AG220" s="211"/>
      <c r="AH220" s="211"/>
      <c r="AI220" s="211"/>
      <c r="AJ220" s="211"/>
      <c r="AK220" s="211"/>
      <c r="AL220" s="211"/>
      <c r="AM220" s="211"/>
      <c r="AN220" s="211"/>
    </row>
    <row r="221" spans="1:40">
      <c r="A221" s="9" t="s">
        <v>262</v>
      </c>
      <c r="B221" s="2"/>
      <c r="C221" s="2" t="s">
        <v>396</v>
      </c>
      <c r="D221" s="2"/>
      <c r="E221" s="2"/>
      <c r="F221" s="2"/>
      <c r="G221" s="2"/>
      <c r="H221" s="2"/>
      <c r="I221" s="2"/>
      <c r="J221" s="275"/>
      <c r="K221" s="2"/>
      <c r="L221" s="187"/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  <c r="AA221" s="211"/>
      <c r="AB221" s="211"/>
      <c r="AC221" s="211"/>
      <c r="AD221" s="211"/>
      <c r="AE221" s="211"/>
      <c r="AF221" s="211"/>
      <c r="AG221" s="211"/>
      <c r="AH221" s="211"/>
      <c r="AI221" s="211"/>
      <c r="AJ221" s="211"/>
      <c r="AK221" s="211"/>
      <c r="AL221" s="211"/>
      <c r="AM221" s="211"/>
      <c r="AN221" s="211"/>
    </row>
    <row r="222" spans="1:40">
      <c r="A222" s="9"/>
      <c r="B222" s="2"/>
      <c r="C222" s="3" t="s">
        <v>136</v>
      </c>
      <c r="D222" s="2"/>
      <c r="E222" s="2"/>
      <c r="F222" s="2"/>
      <c r="G222" s="2"/>
      <c r="H222" s="2"/>
      <c r="I222" s="2"/>
      <c r="J222" s="275"/>
      <c r="K222" s="2"/>
      <c r="L222" s="276"/>
      <c r="M222" s="2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  <c r="Z222" s="211"/>
      <c r="AA222" s="211"/>
      <c r="AB222" s="211"/>
      <c r="AC222" s="211"/>
      <c r="AD222" s="211"/>
      <c r="AE222" s="211"/>
      <c r="AF222" s="211"/>
      <c r="AG222" s="211"/>
      <c r="AH222" s="211"/>
      <c r="AI222" s="211"/>
      <c r="AJ222" s="211"/>
      <c r="AK222" s="211"/>
      <c r="AL222" s="211"/>
      <c r="AM222" s="211"/>
      <c r="AN222" s="211"/>
    </row>
    <row r="223" spans="1:40">
      <c r="A223" s="9" t="s">
        <v>263</v>
      </c>
      <c r="B223" s="2"/>
      <c r="C223" s="2" t="s">
        <v>268</v>
      </c>
      <c r="D223" s="2"/>
      <c r="E223" s="2"/>
      <c r="F223" s="2"/>
      <c r="G223" s="2"/>
      <c r="H223" s="2"/>
      <c r="I223" s="2"/>
      <c r="J223" s="275"/>
      <c r="K223" s="2"/>
      <c r="L223" s="277"/>
      <c r="M223" s="2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  <c r="Z223" s="211"/>
      <c r="AA223" s="211"/>
      <c r="AB223" s="211"/>
      <c r="AC223" s="211"/>
      <c r="AD223" s="211"/>
      <c r="AE223" s="211"/>
      <c r="AF223" s="211"/>
      <c r="AG223" s="211"/>
      <c r="AH223" s="211"/>
      <c r="AI223" s="211"/>
      <c r="AJ223" s="211"/>
      <c r="AK223" s="211"/>
      <c r="AL223" s="211"/>
      <c r="AM223" s="211"/>
      <c r="AN223" s="211"/>
    </row>
    <row r="224" spans="1:40">
      <c r="A224" s="9"/>
      <c r="B224" s="2"/>
      <c r="C224" s="2" t="s">
        <v>193</v>
      </c>
      <c r="D224" s="2"/>
      <c r="E224" s="2"/>
      <c r="F224" s="2"/>
      <c r="G224" s="2"/>
      <c r="H224" s="2"/>
      <c r="I224" s="2"/>
      <c r="J224" s="275"/>
      <c r="K224" s="2"/>
      <c r="L224" s="211"/>
      <c r="M224" s="2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  <c r="Z224" s="211"/>
      <c r="AA224" s="211"/>
      <c r="AB224" s="211"/>
      <c r="AC224" s="211"/>
      <c r="AD224" s="211"/>
      <c r="AE224" s="211"/>
      <c r="AF224" s="211"/>
      <c r="AG224" s="211"/>
      <c r="AH224" s="211"/>
      <c r="AI224" s="211"/>
      <c r="AJ224" s="211"/>
      <c r="AK224" s="211"/>
      <c r="AL224" s="211"/>
      <c r="AM224" s="211"/>
      <c r="AN224" s="211"/>
    </row>
    <row r="225" spans="1:40">
      <c r="A225" s="9"/>
      <c r="B225" s="2"/>
      <c r="C225" s="2" t="s">
        <v>291</v>
      </c>
      <c r="D225" s="2"/>
      <c r="E225" s="2"/>
      <c r="F225" s="2"/>
      <c r="G225" s="2"/>
      <c r="H225" s="2"/>
      <c r="I225" s="2"/>
      <c r="J225" s="275"/>
      <c r="K225" s="2"/>
      <c r="L225" s="211"/>
      <c r="M225" s="2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  <c r="Z225" s="211"/>
      <c r="AA225" s="211"/>
      <c r="AB225" s="211"/>
      <c r="AC225" s="211"/>
      <c r="AD225" s="211"/>
      <c r="AE225" s="211"/>
      <c r="AF225" s="211"/>
      <c r="AG225" s="211"/>
      <c r="AH225" s="211"/>
      <c r="AI225" s="211"/>
      <c r="AJ225" s="211"/>
      <c r="AK225" s="211"/>
      <c r="AL225" s="211"/>
      <c r="AM225" s="211"/>
      <c r="AN225" s="211"/>
    </row>
    <row r="226" spans="1:40">
      <c r="A226" s="9" t="s">
        <v>264</v>
      </c>
      <c r="B226" s="2"/>
      <c r="C226" s="2" t="s">
        <v>275</v>
      </c>
      <c r="D226" s="2"/>
      <c r="E226" s="2"/>
      <c r="F226" s="2"/>
      <c r="G226" s="2"/>
      <c r="H226" s="2"/>
      <c r="I226" s="275"/>
      <c r="J226" s="275"/>
      <c r="K226" s="2"/>
      <c r="L226" s="211"/>
      <c r="M226" s="2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  <c r="Z226" s="211"/>
      <c r="AA226" s="211"/>
      <c r="AB226" s="211"/>
      <c r="AC226" s="211"/>
      <c r="AD226" s="211"/>
      <c r="AE226" s="211"/>
      <c r="AF226" s="211"/>
      <c r="AG226" s="211"/>
      <c r="AH226" s="211"/>
      <c r="AI226" s="211"/>
      <c r="AJ226" s="211"/>
      <c r="AK226" s="211"/>
      <c r="AL226" s="211"/>
      <c r="AM226" s="211"/>
      <c r="AN226" s="211"/>
    </row>
    <row r="227" spans="1:40">
      <c r="A227" s="9"/>
      <c r="B227" s="2"/>
      <c r="C227" s="2" t="s">
        <v>277</v>
      </c>
      <c r="D227" s="2"/>
      <c r="E227" s="2"/>
      <c r="F227" s="2"/>
      <c r="G227" s="2"/>
      <c r="H227" s="2"/>
      <c r="I227" s="2"/>
      <c r="J227" s="2"/>
      <c r="K227" s="2"/>
      <c r="L227" s="211"/>
      <c r="M227" s="275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  <c r="Z227" s="211"/>
      <c r="AA227" s="211"/>
      <c r="AB227" s="211"/>
      <c r="AC227" s="211"/>
      <c r="AD227" s="211"/>
      <c r="AE227" s="211"/>
      <c r="AF227" s="211"/>
      <c r="AG227" s="211"/>
      <c r="AH227" s="211"/>
      <c r="AI227" s="211"/>
      <c r="AJ227" s="211"/>
      <c r="AK227" s="211"/>
      <c r="AL227" s="211"/>
      <c r="AM227" s="211"/>
      <c r="AN227" s="211"/>
    </row>
    <row r="228" spans="1:40">
      <c r="A228" s="9"/>
      <c r="B228" s="2"/>
      <c r="C228" s="2" t="s">
        <v>278</v>
      </c>
      <c r="D228" s="2"/>
      <c r="E228" s="2"/>
      <c r="F228" s="2"/>
      <c r="G228" s="2"/>
      <c r="H228" s="2"/>
      <c r="I228" s="2"/>
      <c r="J228" s="278"/>
      <c r="K228" s="2"/>
      <c r="L228" s="211"/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  <c r="Z228" s="211"/>
      <c r="AA228" s="211"/>
      <c r="AB228" s="211"/>
      <c r="AC228" s="211"/>
      <c r="AD228" s="211"/>
      <c r="AE228" s="211"/>
      <c r="AF228" s="211"/>
      <c r="AG228" s="211"/>
      <c r="AH228" s="211"/>
      <c r="AI228" s="211"/>
      <c r="AJ228" s="211"/>
      <c r="AK228" s="211"/>
      <c r="AL228" s="211"/>
      <c r="AM228" s="211"/>
      <c r="AN228" s="211"/>
    </row>
    <row r="229" spans="1:40">
      <c r="A229" s="9"/>
      <c r="B229" s="2"/>
      <c r="C229" s="2" t="s">
        <v>279</v>
      </c>
      <c r="D229" s="2"/>
      <c r="E229" s="2"/>
      <c r="F229" s="2"/>
      <c r="G229" s="2"/>
      <c r="H229" s="2"/>
      <c r="I229" s="2"/>
      <c r="J229" s="2"/>
      <c r="K229" s="2"/>
      <c r="L229" s="211"/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  <c r="Z229" s="211"/>
      <c r="AA229" s="211"/>
      <c r="AB229" s="211"/>
      <c r="AC229" s="211"/>
      <c r="AD229" s="211"/>
      <c r="AE229" s="211"/>
      <c r="AF229" s="211"/>
      <c r="AG229" s="211"/>
      <c r="AH229" s="211"/>
      <c r="AI229" s="211"/>
      <c r="AJ229" s="211"/>
      <c r="AK229" s="211"/>
      <c r="AL229" s="211"/>
      <c r="AM229" s="211"/>
      <c r="AN229" s="211"/>
    </row>
    <row r="230" spans="1:40">
      <c r="A230" s="9"/>
      <c r="B230" s="2"/>
      <c r="C230" s="2" t="s">
        <v>280</v>
      </c>
      <c r="D230" s="2"/>
      <c r="E230" s="2"/>
      <c r="F230" s="2"/>
      <c r="G230" s="2"/>
      <c r="H230" s="2"/>
      <c r="I230" s="2"/>
      <c r="J230" s="2"/>
      <c r="K230" s="2"/>
      <c r="L230" s="211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  <c r="AA230" s="211"/>
      <c r="AB230" s="211"/>
      <c r="AC230" s="211"/>
      <c r="AD230" s="211"/>
      <c r="AE230" s="211"/>
      <c r="AF230" s="211"/>
      <c r="AG230" s="211"/>
      <c r="AH230" s="211"/>
      <c r="AI230" s="211"/>
      <c r="AJ230" s="211"/>
      <c r="AK230" s="211"/>
      <c r="AL230" s="211"/>
      <c r="AM230" s="211"/>
      <c r="AN230" s="211"/>
    </row>
    <row r="231" spans="1:40">
      <c r="A231" s="9"/>
      <c r="B231" s="2"/>
      <c r="C231" s="2" t="s">
        <v>113</v>
      </c>
      <c r="D231" s="2"/>
      <c r="E231" s="2"/>
      <c r="F231" s="2"/>
      <c r="G231" s="2"/>
      <c r="H231" s="2"/>
      <c r="I231" s="2"/>
      <c r="J231" s="2"/>
      <c r="K231" s="2"/>
      <c r="L231" s="211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  <c r="AA231" s="211"/>
      <c r="AB231" s="211"/>
      <c r="AC231" s="211"/>
      <c r="AD231" s="211"/>
      <c r="AE231" s="211"/>
      <c r="AF231" s="211"/>
      <c r="AG231" s="211"/>
      <c r="AH231" s="211"/>
      <c r="AI231" s="211"/>
      <c r="AJ231" s="211"/>
      <c r="AK231" s="211"/>
      <c r="AL231" s="211"/>
      <c r="AM231" s="211"/>
      <c r="AN231" s="211"/>
    </row>
    <row r="232" spans="1:40">
      <c r="A232" s="9" t="s">
        <v>194</v>
      </c>
      <c r="B232" s="2"/>
      <c r="C232" s="2" t="s">
        <v>288</v>
      </c>
      <c r="D232" s="2" t="s">
        <v>281</v>
      </c>
      <c r="E232" s="279">
        <v>0.21</v>
      </c>
      <c r="F232" s="2"/>
      <c r="G232" s="2"/>
      <c r="H232" s="2"/>
      <c r="I232" s="2"/>
      <c r="J232" s="2"/>
      <c r="K232" s="2"/>
      <c r="L232" s="211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  <c r="AA232" s="211"/>
      <c r="AB232" s="211"/>
      <c r="AC232" s="211"/>
      <c r="AD232" s="211"/>
      <c r="AE232" s="211"/>
      <c r="AF232" s="211"/>
      <c r="AG232" s="211"/>
      <c r="AH232" s="211"/>
      <c r="AI232" s="211"/>
      <c r="AJ232" s="211"/>
      <c r="AK232" s="211"/>
      <c r="AL232" s="211"/>
      <c r="AM232" s="211"/>
      <c r="AN232" s="211"/>
    </row>
    <row r="233" spans="1:40">
      <c r="A233" s="9"/>
      <c r="B233" s="2"/>
      <c r="C233" s="2"/>
      <c r="D233" s="2" t="s">
        <v>282</v>
      </c>
      <c r="E233" s="279">
        <v>0</v>
      </c>
      <c r="F233" s="2" t="s">
        <v>283</v>
      </c>
      <c r="G233" s="2"/>
      <c r="H233" s="2"/>
      <c r="I233" s="2"/>
      <c r="J233" s="2"/>
      <c r="K233" s="2"/>
      <c r="L233" s="211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  <c r="Z233" s="211"/>
      <c r="AA233" s="211"/>
      <c r="AB233" s="211"/>
      <c r="AC233" s="211"/>
      <c r="AD233" s="211"/>
      <c r="AE233" s="211"/>
      <c r="AF233" s="211"/>
      <c r="AG233" s="211"/>
      <c r="AH233" s="211"/>
      <c r="AI233" s="211"/>
      <c r="AJ233" s="211"/>
      <c r="AK233" s="211"/>
      <c r="AL233" s="211"/>
      <c r="AM233" s="211"/>
      <c r="AN233" s="211"/>
    </row>
    <row r="234" spans="1:40">
      <c r="A234" s="9"/>
      <c r="B234" s="2"/>
      <c r="C234" s="2"/>
      <c r="D234" s="2" t="s">
        <v>284</v>
      </c>
      <c r="E234" s="279">
        <v>0</v>
      </c>
      <c r="F234" s="2" t="s">
        <v>285</v>
      </c>
      <c r="G234" s="2"/>
      <c r="H234" s="2"/>
      <c r="I234" s="2"/>
      <c r="J234" s="2"/>
      <c r="K234" s="2"/>
      <c r="L234" s="211"/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  <c r="Z234" s="211"/>
      <c r="AA234" s="211"/>
      <c r="AB234" s="211"/>
      <c r="AC234" s="211"/>
      <c r="AD234" s="211"/>
      <c r="AE234" s="211"/>
      <c r="AF234" s="211"/>
      <c r="AG234" s="211"/>
      <c r="AH234" s="211"/>
      <c r="AI234" s="211"/>
      <c r="AJ234" s="211"/>
      <c r="AK234" s="211"/>
      <c r="AL234" s="211"/>
      <c r="AM234" s="211"/>
      <c r="AN234" s="211"/>
    </row>
    <row r="235" spans="1:40">
      <c r="A235" s="280" t="s">
        <v>266</v>
      </c>
      <c r="B235" s="3"/>
      <c r="C235" s="3" t="s">
        <v>72</v>
      </c>
      <c r="D235" s="3"/>
      <c r="E235" s="3"/>
      <c r="F235" s="3"/>
      <c r="G235" s="3"/>
      <c r="H235" s="3"/>
      <c r="I235" s="3"/>
      <c r="J235" s="3"/>
      <c r="K235" s="3"/>
    </row>
    <row r="236" spans="1:40">
      <c r="C236" s="96" t="s">
        <v>71</v>
      </c>
    </row>
    <row r="237" spans="1:40">
      <c r="A237" s="281" t="s">
        <v>267</v>
      </c>
      <c r="C237" s="96" t="s">
        <v>43</v>
      </c>
    </row>
  </sheetData>
  <mergeCells count="13">
    <mergeCell ref="A203:K203"/>
    <mergeCell ref="A204:K204"/>
    <mergeCell ref="A206:K206"/>
    <mergeCell ref="A130:K130"/>
    <mergeCell ref="A125:K125"/>
    <mergeCell ref="A126:K126"/>
    <mergeCell ref="A128:K128"/>
    <mergeCell ref="A4:K4"/>
    <mergeCell ref="A5:K5"/>
    <mergeCell ref="A7:K7"/>
    <mergeCell ref="A66:K66"/>
    <mergeCell ref="A67:K67"/>
    <mergeCell ref="A69:K69"/>
  </mergeCells>
  <phoneticPr fontId="21" type="noConversion"/>
  <printOptions horizontalCentered="1"/>
  <pageMargins left="0.5" right="0.5" top="0.75" bottom="0.75" header="0.5" footer="0.5"/>
  <pageSetup scale="53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P77"/>
  <sheetViews>
    <sheetView topLeftCell="A49" zoomScaleNormal="100" zoomScalePageLayoutView="81" workbookViewId="0">
      <selection activeCell="N52" sqref="N52"/>
    </sheetView>
  </sheetViews>
  <sheetFormatPr defaultRowHeight="12.75"/>
  <cols>
    <col min="1" max="1" width="3.77734375" style="32" customWidth="1"/>
    <col min="2" max="2" width="2.5546875" style="32" customWidth="1"/>
    <col min="3" max="3" width="3" style="32" customWidth="1"/>
    <col min="4" max="4" width="2.44140625" style="32" customWidth="1"/>
    <col min="5" max="6" width="8.88671875" style="32"/>
    <col min="7" max="7" width="1.77734375" style="32" customWidth="1"/>
    <col min="8" max="11" width="8.88671875" style="32"/>
    <col min="12" max="12" width="15" style="32" customWidth="1"/>
    <col min="13" max="13" width="11.88671875" style="32" customWidth="1"/>
    <col min="14" max="14" width="10.33203125" style="32" customWidth="1"/>
    <col min="15" max="15" width="9.88671875" style="32" bestFit="1" customWidth="1"/>
    <col min="16" max="16384" width="8.88671875" style="32"/>
  </cols>
  <sheetData>
    <row r="3" spans="1:16" ht="15.75">
      <c r="B3" s="48"/>
      <c r="C3" s="48"/>
      <c r="D3" s="48"/>
      <c r="E3" s="48"/>
      <c r="F3" s="48"/>
      <c r="G3" s="48"/>
      <c r="H3" s="48"/>
      <c r="I3" s="48"/>
      <c r="J3" s="48"/>
      <c r="K3" s="48"/>
      <c r="L3" s="82"/>
      <c r="M3" s="82"/>
      <c r="N3" s="82" t="s">
        <v>418</v>
      </c>
      <c r="O3" s="198">
        <f>+'True-Up'!J1</f>
        <v>43982</v>
      </c>
      <c r="P3" s="48"/>
    </row>
    <row r="4" spans="1:16">
      <c r="L4" s="82"/>
      <c r="M4" s="82"/>
      <c r="N4" s="82" t="s">
        <v>166</v>
      </c>
      <c r="O4" s="199">
        <f>+'True-Up'!J2</f>
        <v>2019</v>
      </c>
    </row>
    <row r="5" spans="1:16" ht="15.75">
      <c r="A5" s="340" t="s">
        <v>432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</row>
    <row r="6" spans="1:16">
      <c r="A6" s="160" t="s">
        <v>196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>
      <c r="A7" s="161" t="s">
        <v>197</v>
      </c>
    </row>
    <row r="8" spans="1:16">
      <c r="A8" s="56">
        <v>1</v>
      </c>
      <c r="B8" s="63" t="s">
        <v>389</v>
      </c>
    </row>
    <row r="9" spans="1:16">
      <c r="A9" s="56">
        <f>A8+1</f>
        <v>2</v>
      </c>
    </row>
    <row r="10" spans="1:16">
      <c r="A10" s="56">
        <f t="shared" ref="A10:A74" si="0">A9+1</f>
        <v>3</v>
      </c>
      <c r="B10" s="32" t="s">
        <v>145</v>
      </c>
      <c r="D10" s="63" t="s">
        <v>390</v>
      </c>
    </row>
    <row r="11" spans="1:16">
      <c r="A11" s="56">
        <f t="shared" si="0"/>
        <v>4</v>
      </c>
      <c r="E11" s="32" t="s">
        <v>149</v>
      </c>
    </row>
    <row r="12" spans="1:16">
      <c r="A12" s="56">
        <f t="shared" si="0"/>
        <v>5</v>
      </c>
      <c r="E12" s="32" t="s">
        <v>146</v>
      </c>
    </row>
    <row r="13" spans="1:16">
      <c r="A13" s="56">
        <f t="shared" si="0"/>
        <v>6</v>
      </c>
      <c r="E13" s="32" t="s">
        <v>147</v>
      </c>
    </row>
    <row r="14" spans="1:16">
      <c r="A14" s="56">
        <f t="shared" si="0"/>
        <v>7</v>
      </c>
    </row>
    <row r="15" spans="1:16">
      <c r="A15" s="56">
        <f t="shared" si="0"/>
        <v>8</v>
      </c>
      <c r="B15" s="32" t="s">
        <v>148</v>
      </c>
      <c r="D15" s="32" t="s">
        <v>150</v>
      </c>
    </row>
    <row r="16" spans="1:16">
      <c r="A16" s="56">
        <f t="shared" si="0"/>
        <v>9</v>
      </c>
      <c r="E16" s="32" t="s">
        <v>151</v>
      </c>
    </row>
    <row r="17" spans="1:8">
      <c r="A17" s="56">
        <f t="shared" si="0"/>
        <v>10</v>
      </c>
    </row>
    <row r="18" spans="1:8">
      <c r="A18" s="56">
        <f t="shared" si="0"/>
        <v>11</v>
      </c>
      <c r="B18" s="32" t="s">
        <v>152</v>
      </c>
      <c r="D18" s="32" t="s">
        <v>153</v>
      </c>
    </row>
    <row r="19" spans="1:8">
      <c r="A19" s="56">
        <f t="shared" si="0"/>
        <v>12</v>
      </c>
    </row>
    <row r="20" spans="1:8">
      <c r="A20" s="56">
        <f t="shared" si="0"/>
        <v>13</v>
      </c>
      <c r="D20" s="32" t="s">
        <v>21</v>
      </c>
    </row>
    <row r="21" spans="1:8">
      <c r="A21" s="56">
        <f t="shared" si="0"/>
        <v>14</v>
      </c>
    </row>
    <row r="22" spans="1:8">
      <c r="A22" s="56">
        <f t="shared" si="0"/>
        <v>15</v>
      </c>
      <c r="D22" s="32" t="s">
        <v>154</v>
      </c>
      <c r="F22" s="57" t="s">
        <v>155</v>
      </c>
      <c r="G22" s="32" t="s">
        <v>19</v>
      </c>
    </row>
    <row r="23" spans="1:8">
      <c r="A23" s="56">
        <f t="shared" si="0"/>
        <v>16</v>
      </c>
      <c r="H23" s="32" t="s">
        <v>115</v>
      </c>
    </row>
    <row r="24" spans="1:8">
      <c r="A24" s="56">
        <f t="shared" si="0"/>
        <v>17</v>
      </c>
      <c r="H24" s="32" t="s">
        <v>20</v>
      </c>
    </row>
    <row r="25" spans="1:8">
      <c r="A25" s="56">
        <f t="shared" si="0"/>
        <v>18</v>
      </c>
    </row>
    <row r="26" spans="1:8">
      <c r="A26" s="56">
        <f t="shared" si="0"/>
        <v>19</v>
      </c>
      <c r="B26" s="58" t="s">
        <v>425</v>
      </c>
    </row>
    <row r="27" spans="1:8">
      <c r="A27" s="56">
        <f t="shared" si="0"/>
        <v>20</v>
      </c>
    </row>
    <row r="28" spans="1:8">
      <c r="A28" s="56">
        <f t="shared" si="0"/>
        <v>21</v>
      </c>
      <c r="E28" s="28" t="s">
        <v>187</v>
      </c>
      <c r="F28" s="28" t="s">
        <v>188</v>
      </c>
      <c r="G28" s="59" t="s">
        <v>189</v>
      </c>
    </row>
    <row r="29" spans="1:8">
      <c r="A29" s="56">
        <f t="shared" si="0"/>
        <v>22</v>
      </c>
      <c r="B29" s="60" t="s">
        <v>50</v>
      </c>
      <c r="E29" s="28"/>
      <c r="F29" s="28"/>
      <c r="G29" s="61"/>
    </row>
    <row r="30" spans="1:8">
      <c r="A30" s="56">
        <f t="shared" si="0"/>
        <v>23</v>
      </c>
      <c r="C30" s="32" t="s">
        <v>53</v>
      </c>
      <c r="E30" s="28" t="s">
        <v>191</v>
      </c>
      <c r="F30" s="83">
        <v>2010</v>
      </c>
      <c r="G30" s="64" t="s">
        <v>426</v>
      </c>
      <c r="H30" s="63"/>
    </row>
    <row r="31" spans="1:8">
      <c r="A31" s="56">
        <f t="shared" si="0"/>
        <v>24</v>
      </c>
      <c r="C31" s="32" t="s">
        <v>54</v>
      </c>
      <c r="E31" s="28" t="s">
        <v>191</v>
      </c>
      <c r="F31" s="83">
        <v>2010</v>
      </c>
      <c r="G31" s="64" t="s">
        <v>427</v>
      </c>
      <c r="H31" s="63"/>
    </row>
    <row r="32" spans="1:8">
      <c r="A32" s="56">
        <f t="shared" si="0"/>
        <v>25</v>
      </c>
      <c r="C32" s="32" t="s">
        <v>55</v>
      </c>
      <c r="E32" s="28" t="str">
        <f>+E30</f>
        <v>May</v>
      </c>
      <c r="F32" s="83">
        <v>2010</v>
      </c>
      <c r="G32" s="64" t="s">
        <v>428</v>
      </c>
      <c r="H32" s="63"/>
    </row>
    <row r="33" spans="1:8">
      <c r="A33" s="56">
        <f t="shared" si="0"/>
        <v>26</v>
      </c>
      <c r="C33" s="32" t="s">
        <v>56</v>
      </c>
      <c r="E33" s="28" t="s">
        <v>51</v>
      </c>
      <c r="F33" s="83">
        <v>2010</v>
      </c>
      <c r="G33" s="64" t="s">
        <v>52</v>
      </c>
      <c r="H33" s="63"/>
    </row>
    <row r="34" spans="1:8">
      <c r="A34" s="56">
        <f t="shared" si="0"/>
        <v>27</v>
      </c>
      <c r="E34" s="28"/>
      <c r="F34" s="28"/>
      <c r="G34" s="59"/>
    </row>
    <row r="35" spans="1:8">
      <c r="A35" s="56">
        <f t="shared" si="0"/>
        <v>28</v>
      </c>
      <c r="B35" s="60" t="s">
        <v>58</v>
      </c>
      <c r="E35" s="62"/>
      <c r="F35" s="28"/>
      <c r="G35" s="59"/>
    </row>
    <row r="36" spans="1:8">
      <c r="A36" s="56">
        <f t="shared" si="0"/>
        <v>29</v>
      </c>
      <c r="C36" s="32" t="s">
        <v>57</v>
      </c>
      <c r="E36" s="28" t="s">
        <v>182</v>
      </c>
      <c r="F36" s="83">
        <v>2010</v>
      </c>
      <c r="G36" s="64" t="s">
        <v>429</v>
      </c>
      <c r="H36" s="63"/>
    </row>
    <row r="37" spans="1:8">
      <c r="A37" s="56">
        <f t="shared" si="0"/>
        <v>30</v>
      </c>
      <c r="C37" s="32" t="s">
        <v>59</v>
      </c>
      <c r="E37" s="28" t="s">
        <v>182</v>
      </c>
      <c r="F37" s="83">
        <v>2010</v>
      </c>
      <c r="G37" s="64" t="s">
        <v>430</v>
      </c>
      <c r="H37" s="63"/>
    </row>
    <row r="38" spans="1:8">
      <c r="A38" s="56">
        <f t="shared" si="0"/>
        <v>31</v>
      </c>
      <c r="C38" s="32" t="s">
        <v>60</v>
      </c>
      <c r="E38" s="28" t="s">
        <v>182</v>
      </c>
      <c r="F38" s="83">
        <v>2010</v>
      </c>
      <c r="G38" s="64" t="s">
        <v>44</v>
      </c>
      <c r="H38" s="63"/>
    </row>
    <row r="39" spans="1:8">
      <c r="A39" s="56">
        <f t="shared" si="0"/>
        <v>32</v>
      </c>
      <c r="C39" s="32" t="s">
        <v>61</v>
      </c>
      <c r="E39" s="28" t="s">
        <v>182</v>
      </c>
      <c r="F39" s="83">
        <v>2010</v>
      </c>
      <c r="G39" s="64" t="s">
        <v>63</v>
      </c>
      <c r="H39" s="63"/>
    </row>
    <row r="40" spans="1:8">
      <c r="A40" s="56">
        <f t="shared" si="0"/>
        <v>33</v>
      </c>
      <c r="C40" s="32" t="s">
        <v>62</v>
      </c>
      <c r="E40" s="28" t="s">
        <v>157</v>
      </c>
      <c r="F40" s="83">
        <v>2010</v>
      </c>
      <c r="G40" s="64" t="s">
        <v>24</v>
      </c>
      <c r="H40" s="63"/>
    </row>
    <row r="41" spans="1:8">
      <c r="A41" s="56">
        <f t="shared" si="0"/>
        <v>34</v>
      </c>
      <c r="C41" s="32" t="s">
        <v>23</v>
      </c>
      <c r="E41" s="62" t="s">
        <v>159</v>
      </c>
      <c r="F41" s="83">
        <v>2011</v>
      </c>
      <c r="G41" s="64" t="s">
        <v>64</v>
      </c>
      <c r="H41" s="63"/>
    </row>
    <row r="42" spans="1:8">
      <c r="A42" s="56">
        <f t="shared" si="0"/>
        <v>35</v>
      </c>
    </row>
    <row r="43" spans="1:8">
      <c r="A43" s="56">
        <f t="shared" si="0"/>
        <v>36</v>
      </c>
      <c r="E43" s="32" t="s">
        <v>160</v>
      </c>
      <c r="F43" s="32" t="s">
        <v>161</v>
      </c>
    </row>
    <row r="44" spans="1:8">
      <c r="A44" s="56">
        <f t="shared" si="0"/>
        <v>37</v>
      </c>
      <c r="F44" s="32" t="s">
        <v>162</v>
      </c>
    </row>
    <row r="45" spans="1:8">
      <c r="A45" s="56">
        <f t="shared" si="0"/>
        <v>38</v>
      </c>
      <c r="F45" s="32" t="s">
        <v>163</v>
      </c>
    </row>
    <row r="46" spans="1:8">
      <c r="A46" s="56">
        <f t="shared" si="0"/>
        <v>39</v>
      </c>
      <c r="F46" s="32" t="s">
        <v>116</v>
      </c>
    </row>
    <row r="47" spans="1:8">
      <c r="A47" s="56">
        <f t="shared" si="0"/>
        <v>40</v>
      </c>
      <c r="F47" s="32" t="s">
        <v>174</v>
      </c>
    </row>
    <row r="48" spans="1:8">
      <c r="A48" s="56">
        <f t="shared" si="0"/>
        <v>41</v>
      </c>
      <c r="F48" s="32" t="s">
        <v>175</v>
      </c>
    </row>
    <row r="49" spans="1:15">
      <c r="A49" s="56">
        <f t="shared" si="0"/>
        <v>42</v>
      </c>
    </row>
    <row r="50" spans="1:15">
      <c r="A50" s="56">
        <f t="shared" si="0"/>
        <v>43</v>
      </c>
      <c r="F50" s="63" t="s">
        <v>388</v>
      </c>
    </row>
    <row r="51" spans="1:15">
      <c r="A51" s="56">
        <f t="shared" si="0"/>
        <v>44</v>
      </c>
      <c r="D51" s="60"/>
      <c r="E51" s="60"/>
      <c r="F51" s="60"/>
      <c r="G51" s="60"/>
      <c r="H51" s="60"/>
      <c r="I51" s="60"/>
      <c r="J51" s="60"/>
      <c r="K51" s="60"/>
      <c r="L51" s="60"/>
      <c r="M51" s="60" t="s">
        <v>207</v>
      </c>
      <c r="N51" s="60" t="s">
        <v>296</v>
      </c>
      <c r="O51" s="63"/>
    </row>
    <row r="52" spans="1:15">
      <c r="A52" s="56">
        <f t="shared" si="0"/>
        <v>45</v>
      </c>
      <c r="C52" s="32" t="s">
        <v>258</v>
      </c>
      <c r="D52" s="60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60"/>
      <c r="F52" s="60"/>
      <c r="G52" s="60"/>
      <c r="H52" s="60"/>
      <c r="I52" s="60"/>
      <c r="J52" s="60"/>
      <c r="K52" s="60"/>
      <c r="L52" s="60"/>
      <c r="M52" s="71">
        <f>+'True-Up'!J119</f>
        <v>1233945.2623366527</v>
      </c>
      <c r="N52" s="71">
        <f>+'BHP Sch. 1'!D22</f>
        <v>-135845</v>
      </c>
      <c r="O52" s="200"/>
    </row>
    <row r="53" spans="1:15">
      <c r="A53" s="56">
        <f t="shared" si="0"/>
        <v>46</v>
      </c>
      <c r="C53" s="32" t="s">
        <v>259</v>
      </c>
      <c r="D53" s="60" t="s">
        <v>45</v>
      </c>
      <c r="E53" s="60"/>
      <c r="F53" s="60"/>
      <c r="G53" s="60"/>
      <c r="H53" s="60"/>
      <c r="I53" s="60"/>
      <c r="J53" s="60"/>
      <c r="K53" s="201"/>
      <c r="L53" s="60"/>
      <c r="M53" s="202">
        <f>ROUND((1+$K$77)^18,2)</f>
        <v>1.07</v>
      </c>
      <c r="N53" s="202">
        <f>ROUND((1+$K$77)^18,2)</f>
        <v>1.07</v>
      </c>
      <c r="O53" s="200"/>
    </row>
    <row r="54" spans="1:15">
      <c r="A54" s="56">
        <f t="shared" si="0"/>
        <v>47</v>
      </c>
      <c r="C54" s="32" t="s">
        <v>260</v>
      </c>
      <c r="D54" s="60" t="s">
        <v>431</v>
      </c>
      <c r="E54" s="60"/>
      <c r="F54" s="60"/>
      <c r="G54" s="60"/>
      <c r="H54" s="60"/>
      <c r="I54" s="60"/>
      <c r="J54" s="60"/>
      <c r="K54" s="201"/>
      <c r="L54" s="60"/>
      <c r="M54" s="203">
        <f>+M52*M53</f>
        <v>1320321.4307002185</v>
      </c>
      <c r="N54" s="203">
        <f>+N52*N53</f>
        <v>-145354.15</v>
      </c>
      <c r="O54" s="200"/>
    </row>
    <row r="55" spans="1:15">
      <c r="A55" s="56">
        <f t="shared" si="0"/>
        <v>48</v>
      </c>
      <c r="K55" s="204"/>
      <c r="O55" s="204"/>
    </row>
    <row r="56" spans="1:15">
      <c r="A56" s="56">
        <f t="shared" si="0"/>
        <v>49</v>
      </c>
      <c r="E56" s="32" t="s">
        <v>154</v>
      </c>
      <c r="F56" s="32" t="s">
        <v>176</v>
      </c>
      <c r="K56" s="204"/>
      <c r="M56" s="63"/>
      <c r="O56" s="204"/>
    </row>
    <row r="57" spans="1:15">
      <c r="A57" s="56">
        <f t="shared" si="0"/>
        <v>50</v>
      </c>
      <c r="K57" s="204"/>
      <c r="N57" s="204"/>
      <c r="O57" s="204"/>
    </row>
    <row r="58" spans="1:15">
      <c r="A58" s="56">
        <f t="shared" si="0"/>
        <v>51</v>
      </c>
      <c r="D58" s="204" t="s">
        <v>177</v>
      </c>
      <c r="E58" s="204"/>
      <c r="F58" s="204"/>
      <c r="G58" s="204"/>
      <c r="H58" s="204"/>
      <c r="I58" s="204"/>
      <c r="J58" s="204"/>
      <c r="K58" s="204"/>
    </row>
    <row r="59" spans="1:15">
      <c r="A59" s="56">
        <f t="shared" si="0"/>
        <v>52</v>
      </c>
      <c r="D59" s="204"/>
      <c r="E59" s="204"/>
      <c r="F59" s="204"/>
      <c r="G59" s="204"/>
      <c r="H59" s="204"/>
      <c r="I59" s="204"/>
      <c r="J59" s="204"/>
      <c r="K59" s="35" t="s">
        <v>11</v>
      </c>
    </row>
    <row r="60" spans="1:15">
      <c r="A60" s="56">
        <f t="shared" si="0"/>
        <v>53</v>
      </c>
      <c r="D60" s="204"/>
      <c r="E60" s="205" t="s">
        <v>187</v>
      </c>
      <c r="F60" s="35"/>
      <c r="G60" s="35"/>
      <c r="H60" s="205" t="s">
        <v>188</v>
      </c>
      <c r="I60" s="206"/>
      <c r="J60" s="204"/>
      <c r="K60" s="205" t="s">
        <v>178</v>
      </c>
    </row>
    <row r="61" spans="1:15">
      <c r="A61" s="56">
        <f t="shared" si="0"/>
        <v>54</v>
      </c>
      <c r="E61" s="32" t="s">
        <v>159</v>
      </c>
      <c r="H61" s="32" t="s">
        <v>185</v>
      </c>
      <c r="K61" s="207">
        <v>3.5999999999999999E-3</v>
      </c>
    </row>
    <row r="62" spans="1:15">
      <c r="A62" s="56">
        <f t="shared" si="0"/>
        <v>55</v>
      </c>
      <c r="E62" s="32" t="s">
        <v>179</v>
      </c>
      <c r="H62" s="32" t="s">
        <v>185</v>
      </c>
      <c r="K62" s="207">
        <v>3.3E-3</v>
      </c>
    </row>
    <row r="63" spans="1:15">
      <c r="A63" s="56">
        <f t="shared" si="0"/>
        <v>56</v>
      </c>
      <c r="E63" s="32" t="s">
        <v>180</v>
      </c>
      <c r="H63" s="32" t="s">
        <v>185</v>
      </c>
      <c r="K63" s="207">
        <v>3.5999999999999999E-3</v>
      </c>
    </row>
    <row r="64" spans="1:15">
      <c r="A64" s="56">
        <f t="shared" si="0"/>
        <v>57</v>
      </c>
      <c r="E64" s="32" t="s">
        <v>190</v>
      </c>
      <c r="H64" s="32" t="s">
        <v>185</v>
      </c>
      <c r="K64" s="207">
        <v>3.7000000000000002E-3</v>
      </c>
    </row>
    <row r="65" spans="1:11">
      <c r="A65" s="56">
        <f t="shared" si="0"/>
        <v>58</v>
      </c>
      <c r="E65" s="32" t="s">
        <v>191</v>
      </c>
      <c r="H65" s="32" t="s">
        <v>185</v>
      </c>
      <c r="K65" s="207">
        <v>3.8E-3</v>
      </c>
    </row>
    <row r="66" spans="1:11">
      <c r="A66" s="56">
        <f t="shared" si="0"/>
        <v>59</v>
      </c>
      <c r="E66" s="32" t="s">
        <v>192</v>
      </c>
      <c r="H66" s="32" t="s">
        <v>185</v>
      </c>
      <c r="K66" s="207">
        <v>3.7000000000000002E-3</v>
      </c>
    </row>
    <row r="67" spans="1:11">
      <c r="A67" s="56">
        <f t="shared" si="0"/>
        <v>60</v>
      </c>
      <c r="E67" s="32" t="s">
        <v>181</v>
      </c>
      <c r="H67" s="32" t="s">
        <v>185</v>
      </c>
      <c r="K67" s="207">
        <v>4.0000000000000001E-3</v>
      </c>
    </row>
    <row r="68" spans="1:11">
      <c r="A68" s="56">
        <f t="shared" si="0"/>
        <v>61</v>
      </c>
      <c r="E68" s="32" t="s">
        <v>156</v>
      </c>
      <c r="H68" s="32" t="s">
        <v>185</v>
      </c>
      <c r="K68" s="207">
        <v>4.0000000000000001E-3</v>
      </c>
    </row>
    <row r="69" spans="1:11">
      <c r="A69" s="56">
        <f t="shared" si="0"/>
        <v>62</v>
      </c>
      <c r="E69" s="32" t="s">
        <v>182</v>
      </c>
      <c r="H69" s="32" t="s">
        <v>185</v>
      </c>
      <c r="K69" s="207">
        <v>3.8999999999999998E-3</v>
      </c>
    </row>
    <row r="70" spans="1:11">
      <c r="A70" s="56">
        <f t="shared" si="0"/>
        <v>63</v>
      </c>
      <c r="E70" s="32" t="s">
        <v>157</v>
      </c>
      <c r="H70" s="32" t="s">
        <v>185</v>
      </c>
      <c r="K70" s="207">
        <v>4.1999999999999997E-3</v>
      </c>
    </row>
    <row r="71" spans="1:11">
      <c r="A71" s="56">
        <f t="shared" si="0"/>
        <v>64</v>
      </c>
      <c r="E71" s="32" t="s">
        <v>158</v>
      </c>
      <c r="H71" s="32" t="s">
        <v>185</v>
      </c>
      <c r="K71" s="207">
        <v>4.1000000000000003E-3</v>
      </c>
    </row>
    <row r="72" spans="1:11">
      <c r="A72" s="56">
        <f t="shared" si="0"/>
        <v>65</v>
      </c>
      <c r="E72" s="32" t="s">
        <v>183</v>
      </c>
      <c r="H72" s="32" t="s">
        <v>185</v>
      </c>
      <c r="K72" s="207">
        <v>4.1999999999999997E-3</v>
      </c>
    </row>
    <row r="73" spans="1:11">
      <c r="A73" s="56">
        <f t="shared" si="0"/>
        <v>66</v>
      </c>
      <c r="E73" s="32" t="s">
        <v>159</v>
      </c>
      <c r="H73" s="32" t="s">
        <v>186</v>
      </c>
      <c r="K73" s="207">
        <v>4.4000000000000003E-3</v>
      </c>
    </row>
    <row r="74" spans="1:11">
      <c r="A74" s="56">
        <f t="shared" si="0"/>
        <v>67</v>
      </c>
      <c r="E74" s="32" t="s">
        <v>179</v>
      </c>
      <c r="H74" s="32" t="s">
        <v>186</v>
      </c>
      <c r="K74" s="207">
        <v>4.0000000000000001E-3</v>
      </c>
    </row>
    <row r="75" spans="1:11">
      <c r="A75" s="56">
        <f>A74+1</f>
        <v>68</v>
      </c>
      <c r="E75" s="32" t="s">
        <v>180</v>
      </c>
      <c r="H75" s="32" t="s">
        <v>186</v>
      </c>
      <c r="K75" s="207">
        <v>4.4000000000000003E-3</v>
      </c>
    </row>
    <row r="76" spans="1:11">
      <c r="A76" s="56">
        <f>A75+1</f>
        <v>69</v>
      </c>
      <c r="E76" s="32" t="s">
        <v>190</v>
      </c>
      <c r="H76" s="32" t="s">
        <v>186</v>
      </c>
      <c r="K76" s="207">
        <v>4.4999999999999997E-3</v>
      </c>
    </row>
    <row r="77" spans="1:11">
      <c r="A77" s="56">
        <f>A76+1</f>
        <v>70</v>
      </c>
      <c r="F77" s="32" t="s">
        <v>184</v>
      </c>
      <c r="K77" s="208">
        <f>ROUND(AVERAGE(K61:K76),6)</f>
        <v>3.9630000000000004E-3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H34"/>
  <sheetViews>
    <sheetView zoomScaleNormal="100" workbookViewId="0">
      <selection activeCell="F33" sqref="F33"/>
    </sheetView>
  </sheetViews>
  <sheetFormatPr defaultColWidth="7.109375" defaultRowHeight="12.75"/>
  <cols>
    <col min="1" max="1" width="10.21875" style="5" customWidth="1"/>
    <col min="2" max="2" width="3.5546875" style="5" customWidth="1"/>
    <col min="3" max="4" width="1.77734375" style="5" customWidth="1"/>
    <col min="5" max="5" width="4" style="5" customWidth="1"/>
    <col min="6" max="6" width="24.21875" style="5" customWidth="1"/>
    <col min="7" max="7" width="1.88671875" style="5" customWidth="1"/>
    <col min="8" max="8" width="8.21875" style="189" customWidth="1"/>
    <col min="9" max="9" width="8.21875" style="5" customWidth="1"/>
    <col min="10" max="16384" width="7.109375" style="5"/>
  </cols>
  <sheetData>
    <row r="3" spans="1:8">
      <c r="F3" s="34"/>
    </row>
    <row r="4" spans="1:8">
      <c r="A4" s="341" t="s">
        <v>433</v>
      </c>
      <c r="B4" s="341"/>
      <c r="C4" s="341"/>
      <c r="D4" s="341"/>
      <c r="E4" s="341"/>
      <c r="F4" s="341"/>
      <c r="G4" s="341"/>
      <c r="H4" s="341"/>
    </row>
    <row r="5" spans="1:8">
      <c r="B5" s="190" t="s">
        <v>196</v>
      </c>
      <c r="H5" s="191" t="s">
        <v>417</v>
      </c>
    </row>
    <row r="6" spans="1:8">
      <c r="B6" s="192" t="s">
        <v>197</v>
      </c>
      <c r="D6" s="193" t="s">
        <v>342</v>
      </c>
      <c r="E6" s="193"/>
      <c r="F6" s="193"/>
      <c r="H6" s="194" t="s">
        <v>172</v>
      </c>
    </row>
    <row r="7" spans="1:8">
      <c r="B7" s="81">
        <v>1</v>
      </c>
    </row>
    <row r="8" spans="1:8">
      <c r="B8" s="81">
        <v>2</v>
      </c>
      <c r="D8" s="195" t="s">
        <v>111</v>
      </c>
      <c r="E8" s="195"/>
    </row>
    <row r="9" spans="1:8">
      <c r="B9" s="81">
        <v>3</v>
      </c>
    </row>
    <row r="10" spans="1:8">
      <c r="B10" s="81">
        <v>4</v>
      </c>
      <c r="E10" s="5">
        <v>350</v>
      </c>
      <c r="F10" s="43" t="s">
        <v>343</v>
      </c>
      <c r="H10" s="85">
        <v>0</v>
      </c>
    </row>
    <row r="11" spans="1:8">
      <c r="B11" s="81">
        <v>5</v>
      </c>
      <c r="E11" s="5">
        <v>352</v>
      </c>
      <c r="F11" s="43" t="s">
        <v>344</v>
      </c>
      <c r="H11" s="85">
        <v>2.3900000000000001E-2</v>
      </c>
    </row>
    <row r="12" spans="1:8">
      <c r="B12" s="81">
        <v>6</v>
      </c>
      <c r="E12" s="5">
        <v>353</v>
      </c>
      <c r="F12" s="43" t="s">
        <v>345</v>
      </c>
      <c r="H12" s="85">
        <v>2.6599999999999999E-2</v>
      </c>
    </row>
    <row r="13" spans="1:8">
      <c r="B13" s="81">
        <v>7</v>
      </c>
      <c r="E13" s="5">
        <v>354</v>
      </c>
      <c r="F13" s="43" t="s">
        <v>346</v>
      </c>
      <c r="H13" s="85">
        <v>2.0400000000000001E-2</v>
      </c>
    </row>
    <row r="14" spans="1:8">
      <c r="B14" s="81">
        <v>8</v>
      </c>
      <c r="E14" s="5">
        <v>355</v>
      </c>
      <c r="F14" s="43" t="s">
        <v>347</v>
      </c>
      <c r="H14" s="85">
        <v>2.2200000000000001E-2</v>
      </c>
    </row>
    <row r="15" spans="1:8">
      <c r="B15" s="81">
        <v>9</v>
      </c>
      <c r="E15" s="5">
        <v>356</v>
      </c>
      <c r="F15" s="43" t="s">
        <v>348</v>
      </c>
      <c r="H15" s="85">
        <v>2.0400000000000001E-2</v>
      </c>
    </row>
    <row r="16" spans="1:8">
      <c r="B16" s="81">
        <v>10</v>
      </c>
      <c r="E16" s="5">
        <v>359</v>
      </c>
      <c r="F16" s="43" t="s">
        <v>349</v>
      </c>
      <c r="H16" s="85">
        <v>1.95E-2</v>
      </c>
    </row>
    <row r="17" spans="2:8">
      <c r="B17" s="81">
        <v>11</v>
      </c>
      <c r="F17" s="43" t="s">
        <v>4</v>
      </c>
      <c r="H17" s="85">
        <v>2.3199999999999998E-2</v>
      </c>
    </row>
    <row r="18" spans="2:8">
      <c r="B18" s="81">
        <v>12</v>
      </c>
      <c r="H18" s="85"/>
    </row>
    <row r="19" spans="2:8">
      <c r="B19" s="81">
        <v>13</v>
      </c>
      <c r="D19" s="195" t="s">
        <v>100</v>
      </c>
      <c r="H19" s="85"/>
    </row>
    <row r="20" spans="2:8">
      <c r="B20" s="81">
        <v>14</v>
      </c>
      <c r="H20" s="85"/>
    </row>
    <row r="21" spans="2:8">
      <c r="B21" s="81">
        <v>15</v>
      </c>
      <c r="E21" s="5">
        <v>389</v>
      </c>
      <c r="F21" s="196" t="s">
        <v>343</v>
      </c>
      <c r="H21" s="85">
        <v>0</v>
      </c>
    </row>
    <row r="22" spans="2:8">
      <c r="B22" s="81">
        <v>16</v>
      </c>
      <c r="E22" s="5">
        <v>390</v>
      </c>
      <c r="F22" s="43" t="s">
        <v>344</v>
      </c>
      <c r="H22" s="85">
        <v>4.7300000000000002E-2</v>
      </c>
    </row>
    <row r="23" spans="2:8">
      <c r="B23" s="81">
        <v>17</v>
      </c>
      <c r="E23" s="5">
        <v>391</v>
      </c>
      <c r="F23" s="43" t="s">
        <v>350</v>
      </c>
      <c r="H23" s="85">
        <v>0.1056</v>
      </c>
    </row>
    <row r="24" spans="2:8">
      <c r="B24" s="81">
        <v>18</v>
      </c>
      <c r="E24" s="5">
        <v>392</v>
      </c>
      <c r="F24" s="43" t="s">
        <v>351</v>
      </c>
      <c r="H24" s="85">
        <v>9.06E-2</v>
      </c>
    </row>
    <row r="25" spans="2:8">
      <c r="B25" s="81">
        <v>19</v>
      </c>
      <c r="E25" s="5">
        <v>393</v>
      </c>
      <c r="F25" s="43" t="s">
        <v>352</v>
      </c>
      <c r="H25" s="85">
        <v>4.2299999999999997E-2</v>
      </c>
    </row>
    <row r="26" spans="2:8">
      <c r="B26" s="81">
        <v>20</v>
      </c>
      <c r="E26" s="5">
        <v>394</v>
      </c>
      <c r="F26" s="43" t="s">
        <v>13</v>
      </c>
      <c r="H26" s="85">
        <v>4.2299999999999997E-2</v>
      </c>
    </row>
    <row r="27" spans="2:8">
      <c r="B27" s="81">
        <v>21</v>
      </c>
      <c r="E27" s="5">
        <v>395</v>
      </c>
      <c r="F27" s="43" t="s">
        <v>353</v>
      </c>
      <c r="H27" s="85">
        <v>3.0599999999999999E-2</v>
      </c>
    </row>
    <row r="28" spans="2:8">
      <c r="B28" s="81">
        <v>22</v>
      </c>
      <c r="E28" s="5">
        <v>396</v>
      </c>
      <c r="F28" s="43" t="s">
        <v>354</v>
      </c>
      <c r="H28" s="85">
        <v>4.2299999999999997E-2</v>
      </c>
    </row>
    <row r="29" spans="2:8">
      <c r="B29" s="81">
        <v>23</v>
      </c>
      <c r="E29" s="5">
        <v>397</v>
      </c>
      <c r="F29" s="43" t="s">
        <v>355</v>
      </c>
      <c r="H29" s="85">
        <v>4.3900000000000002E-2</v>
      </c>
    </row>
    <row r="30" spans="2:8">
      <c r="B30" s="81">
        <v>24</v>
      </c>
      <c r="E30" s="5">
        <v>398</v>
      </c>
      <c r="F30" s="43" t="s">
        <v>356</v>
      </c>
      <c r="H30" s="85">
        <v>5.8099999999999999E-2</v>
      </c>
    </row>
    <row r="31" spans="2:8">
      <c r="B31" s="81">
        <v>25</v>
      </c>
      <c r="F31" s="43" t="s">
        <v>12</v>
      </c>
      <c r="H31" s="85">
        <v>6.5299999999999997E-2</v>
      </c>
    </row>
    <row r="32" spans="2:8">
      <c r="B32" s="81">
        <v>26</v>
      </c>
    </row>
    <row r="33" spans="2:6">
      <c r="B33" s="81">
        <v>27</v>
      </c>
      <c r="D33" s="43" t="s">
        <v>416</v>
      </c>
      <c r="E33" s="197"/>
      <c r="F33" s="43"/>
    </row>
    <row r="34" spans="2:6">
      <c r="F34" s="43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S159"/>
  <sheetViews>
    <sheetView topLeftCell="A21" zoomScale="80" zoomScaleNormal="80" zoomScaleSheetLayoutView="85" workbookViewId="0">
      <selection activeCell="F52" sqref="F52"/>
    </sheetView>
  </sheetViews>
  <sheetFormatPr defaultRowHeight="15"/>
  <cols>
    <col min="1" max="1" width="6" style="76" customWidth="1"/>
    <col min="2" max="2" width="1.44140625" style="76" customWidth="1"/>
    <col min="3" max="3" width="36" style="76" customWidth="1"/>
    <col min="4" max="4" width="24.44140625" style="76" customWidth="1"/>
    <col min="5" max="5" width="16.109375" style="76" customWidth="1"/>
    <col min="6" max="11" width="15.88671875" style="76" customWidth="1"/>
    <col min="12" max="12" width="17.6640625" style="76" bestFit="1" customWidth="1"/>
    <col min="13" max="13" width="16.109375" style="76" bestFit="1" customWidth="1"/>
    <col min="14" max="15" width="15.88671875" style="76" customWidth="1"/>
    <col min="16" max="16" width="19.6640625" style="76" bestFit="1" customWidth="1"/>
    <col min="17" max="17" width="14.109375" style="76" bestFit="1" customWidth="1"/>
    <col min="18" max="18" width="17.77734375" style="76" customWidth="1"/>
    <col min="19" max="19" width="15.44140625" style="76" customWidth="1"/>
    <col min="20" max="20" width="14.6640625" style="76" customWidth="1"/>
    <col min="21" max="21" width="15.33203125" style="76" customWidth="1"/>
    <col min="22" max="22" width="25.6640625" style="76" bestFit="1" customWidth="1"/>
    <col min="23" max="34" width="15.5546875" style="76" bestFit="1" customWidth="1"/>
    <col min="35" max="46" width="12" style="76" bestFit="1" customWidth="1"/>
    <col min="47" max="16384" width="8.88671875" style="76"/>
  </cols>
  <sheetData>
    <row r="2" spans="1:71" ht="15.75">
      <c r="A2" s="3"/>
      <c r="B2" s="3"/>
      <c r="C2" s="3"/>
      <c r="D2" s="48"/>
      <c r="E2" s="3"/>
      <c r="F2" s="3"/>
      <c r="G2" s="3"/>
      <c r="H2" s="3"/>
      <c r="I2" s="175" t="str">
        <f>'CU AC Rate Design - True-Up'!H1</f>
        <v>Date: May 31, 2020</v>
      </c>
      <c r="J2" s="3"/>
      <c r="K2" s="3"/>
      <c r="L2" s="3"/>
      <c r="O2" s="75"/>
      <c r="R2" s="176" t="str">
        <f>I2</f>
        <v>Date: May 31, 2020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</row>
    <row r="3" spans="1:7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5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</row>
    <row r="4" spans="1:71" ht="15" customHeight="1">
      <c r="A4" s="336" t="s">
        <v>321</v>
      </c>
      <c r="B4" s="336"/>
      <c r="C4" s="336"/>
      <c r="D4" s="336"/>
      <c r="E4" s="336"/>
      <c r="F4" s="336"/>
      <c r="G4" s="336"/>
      <c r="H4" s="336"/>
      <c r="I4" s="336"/>
      <c r="J4" s="336" t="s">
        <v>321</v>
      </c>
      <c r="K4" s="336"/>
      <c r="L4" s="336"/>
      <c r="M4" s="336"/>
      <c r="N4" s="336"/>
      <c r="O4" s="336"/>
      <c r="P4" s="336"/>
      <c r="Q4" s="336"/>
      <c r="R4" s="336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</row>
    <row r="5" spans="1:71" ht="15.75">
      <c r="A5" s="337" t="s">
        <v>195</v>
      </c>
      <c r="B5" s="337"/>
      <c r="C5" s="337"/>
      <c r="D5" s="337"/>
      <c r="E5" s="337"/>
      <c r="F5" s="337"/>
      <c r="G5" s="337"/>
      <c r="H5" s="337"/>
      <c r="I5" s="337"/>
      <c r="J5" s="337" t="s">
        <v>195</v>
      </c>
      <c r="K5" s="337"/>
      <c r="L5" s="337"/>
      <c r="M5" s="337"/>
      <c r="N5" s="337"/>
      <c r="O5" s="337"/>
      <c r="P5" s="337"/>
      <c r="Q5" s="337"/>
      <c r="R5" s="337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</row>
    <row r="6" spans="1:71">
      <c r="A6" s="3"/>
      <c r="B6" s="3"/>
      <c r="C6" s="75"/>
      <c r="D6" s="75"/>
      <c r="F6" s="75"/>
      <c r="G6" s="75"/>
      <c r="H6" s="75"/>
      <c r="I6" s="75"/>
      <c r="J6" s="3"/>
      <c r="K6" s="3"/>
      <c r="L6" s="75"/>
      <c r="M6" s="75"/>
      <c r="O6" s="75"/>
      <c r="P6" s="75"/>
      <c r="Q6" s="75"/>
      <c r="R6" s="75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</row>
    <row r="7" spans="1:71" ht="15" customHeight="1">
      <c r="A7" s="338" t="s">
        <v>320</v>
      </c>
      <c r="B7" s="338"/>
      <c r="C7" s="338"/>
      <c r="D7" s="338"/>
      <c r="E7" s="338"/>
      <c r="F7" s="338"/>
      <c r="G7" s="338"/>
      <c r="H7" s="338"/>
      <c r="I7" s="338"/>
      <c r="J7" s="338" t="s">
        <v>320</v>
      </c>
      <c r="K7" s="338"/>
      <c r="L7" s="338"/>
      <c r="M7" s="338"/>
      <c r="N7" s="338"/>
      <c r="O7" s="338"/>
      <c r="P7" s="338"/>
      <c r="Q7" s="338"/>
      <c r="R7" s="338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</row>
    <row r="8" spans="1:71">
      <c r="A8" s="9"/>
      <c r="B8" s="3"/>
      <c r="C8" s="75"/>
      <c r="D8" s="75"/>
      <c r="E8" s="179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</row>
    <row r="9" spans="1:71">
      <c r="A9" s="3"/>
      <c r="B9" s="3"/>
      <c r="C9" s="180"/>
      <c r="D9" s="180"/>
      <c r="E9" s="180"/>
      <c r="F9" s="1"/>
      <c r="G9" s="1"/>
      <c r="H9" s="1"/>
      <c r="I9" s="1"/>
      <c r="J9" s="1"/>
      <c r="K9" s="1"/>
      <c r="L9" s="18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</row>
    <row r="10" spans="1:71" ht="15.75">
      <c r="A10" s="3"/>
      <c r="B10" s="3"/>
      <c r="C10" s="97"/>
      <c r="D10" s="178" t="s">
        <v>206</v>
      </c>
      <c r="E10" s="1"/>
      <c r="F10" s="1"/>
      <c r="G10" s="1"/>
      <c r="H10" s="1"/>
      <c r="I10" s="1"/>
      <c r="J10" s="1"/>
      <c r="K10" s="1"/>
      <c r="L10" s="180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1" ht="15.75">
      <c r="A11" s="9" t="s">
        <v>196</v>
      </c>
      <c r="B11" s="3"/>
      <c r="C11" s="97"/>
      <c r="D11" s="181" t="s">
        <v>208</v>
      </c>
      <c r="E11" s="177" t="s">
        <v>209</v>
      </c>
      <c r="F11" s="182"/>
      <c r="G11" s="182"/>
      <c r="H11" s="182"/>
      <c r="I11" s="182"/>
      <c r="J11" s="182"/>
      <c r="K11" s="182"/>
      <c r="L11" s="180"/>
      <c r="O11" s="93"/>
      <c r="P11" s="93"/>
      <c r="Q11" s="183"/>
      <c r="R11" s="93"/>
      <c r="S11" s="93"/>
      <c r="T11" s="93"/>
      <c r="U11" s="187" t="s">
        <v>458</v>
      </c>
      <c r="V11" s="93"/>
      <c r="W11" s="345"/>
      <c r="X11" s="345"/>
      <c r="Y11" s="345"/>
      <c r="Z11" s="345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1" ht="16.5" thickBot="1">
      <c r="A12" s="184" t="s">
        <v>197</v>
      </c>
      <c r="B12" s="3"/>
      <c r="C12" s="185" t="s">
        <v>211</v>
      </c>
      <c r="D12" s="1"/>
      <c r="E12" s="186" t="s">
        <v>26</v>
      </c>
      <c r="F12" s="186" t="s">
        <v>27</v>
      </c>
      <c r="G12" s="186" t="s">
        <v>28</v>
      </c>
      <c r="H12" s="186" t="s">
        <v>29</v>
      </c>
      <c r="I12" s="186" t="s">
        <v>30</v>
      </c>
      <c r="J12" s="186" t="s">
        <v>31</v>
      </c>
      <c r="K12" s="186" t="s">
        <v>32</v>
      </c>
      <c r="L12" s="186" t="s">
        <v>33</v>
      </c>
      <c r="M12" s="186" t="s">
        <v>145</v>
      </c>
      <c r="N12" s="186" t="s">
        <v>34</v>
      </c>
      <c r="O12" s="186" t="s">
        <v>35</v>
      </c>
      <c r="P12" s="186" t="s">
        <v>36</v>
      </c>
      <c r="Q12" s="186" t="s">
        <v>37</v>
      </c>
      <c r="R12" s="186" t="s">
        <v>38</v>
      </c>
      <c r="S12" s="93"/>
      <c r="T12" s="93"/>
      <c r="U12" s="93"/>
      <c r="V12" s="93"/>
      <c r="W12" s="346"/>
      <c r="X12" s="346"/>
      <c r="Y12" s="346"/>
      <c r="Z12" s="346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</row>
    <row r="13" spans="1:71">
      <c r="A13" s="9"/>
      <c r="B13" s="3"/>
      <c r="C13" s="97"/>
      <c r="D13" s="1"/>
      <c r="E13" s="74">
        <v>43435</v>
      </c>
      <c r="F13" s="74">
        <v>43466</v>
      </c>
      <c r="G13" s="74">
        <v>43497</v>
      </c>
      <c r="H13" s="74">
        <v>43525</v>
      </c>
      <c r="I13" s="74">
        <v>43556</v>
      </c>
      <c r="J13" s="74">
        <v>43586</v>
      </c>
      <c r="K13" s="74">
        <v>43617</v>
      </c>
      <c r="L13" s="74">
        <v>43647</v>
      </c>
      <c r="M13" s="74">
        <v>43678</v>
      </c>
      <c r="N13" s="74">
        <v>43709</v>
      </c>
      <c r="O13" s="74">
        <v>43739</v>
      </c>
      <c r="P13" s="74">
        <v>43770</v>
      </c>
      <c r="Q13" s="74">
        <v>43800</v>
      </c>
      <c r="R13" s="19" t="s">
        <v>25</v>
      </c>
      <c r="S13" s="93"/>
      <c r="T13" s="93"/>
      <c r="U13" s="93"/>
      <c r="V13" s="93"/>
      <c r="X13" s="187"/>
      <c r="Z13" s="187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</row>
    <row r="14" spans="1:71">
      <c r="A14" s="9"/>
      <c r="B14" s="3"/>
      <c r="C14" s="97" t="s">
        <v>41</v>
      </c>
      <c r="D14" s="1" t="s">
        <v>412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S14" s="1"/>
      <c r="T14" s="1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</row>
    <row r="15" spans="1:71">
      <c r="A15" s="9">
        <v>1</v>
      </c>
      <c r="B15" s="3"/>
      <c r="C15" s="97" t="s">
        <v>213</v>
      </c>
      <c r="D15" s="1" t="s">
        <v>73</v>
      </c>
      <c r="E15" s="19">
        <v>592246801.63999999</v>
      </c>
      <c r="F15" s="19">
        <v>592618400.21000004</v>
      </c>
      <c r="G15" s="19">
        <v>592719599.88</v>
      </c>
      <c r="H15" s="19">
        <v>592936297.26999998</v>
      </c>
      <c r="I15" s="19">
        <v>593430803.84000003</v>
      </c>
      <c r="J15" s="19">
        <v>593381859.71000004</v>
      </c>
      <c r="K15" s="19">
        <v>597245355.96000004</v>
      </c>
      <c r="L15" s="19">
        <v>603570716.75999999</v>
      </c>
      <c r="M15" s="19">
        <v>603661951.14999998</v>
      </c>
      <c r="N15" s="19">
        <v>604654202.40999997</v>
      </c>
      <c r="O15" s="19">
        <v>605120389.75</v>
      </c>
      <c r="P15" s="19">
        <v>608100835.8599999</v>
      </c>
      <c r="Q15" s="19">
        <v>616237304.53999996</v>
      </c>
      <c r="R15" s="19">
        <f t="shared" ref="R15:R21" si="0">AVERAGE(E15:Q15)</f>
        <v>599686501.45999992</v>
      </c>
      <c r="S15" s="1"/>
      <c r="T15" s="1"/>
      <c r="V15" s="19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</row>
    <row r="16" spans="1:71">
      <c r="A16" s="9">
        <f t="shared" ref="A16:A65" si="1">+A15+1</f>
        <v>2</v>
      </c>
      <c r="B16" s="3"/>
      <c r="C16" s="97" t="s">
        <v>215</v>
      </c>
      <c r="D16" s="1" t="s">
        <v>120</v>
      </c>
      <c r="E16" s="19">
        <v>208155661.73000002</v>
      </c>
      <c r="F16" s="19">
        <v>208792310.36000004</v>
      </c>
      <c r="G16" s="19">
        <v>208580676.04000002</v>
      </c>
      <c r="H16" s="19">
        <v>208102410.56</v>
      </c>
      <c r="I16" s="19">
        <v>207952411.41000003</v>
      </c>
      <c r="J16" s="19">
        <v>207384866.53000003</v>
      </c>
      <c r="K16" s="19">
        <v>207111383.66000003</v>
      </c>
      <c r="L16" s="19">
        <v>207020992.92999998</v>
      </c>
      <c r="M16" s="19">
        <v>206977274.62000003</v>
      </c>
      <c r="N16" s="19">
        <v>232268214.65000004</v>
      </c>
      <c r="O16" s="19">
        <v>231929736.52000001</v>
      </c>
      <c r="P16" s="19">
        <v>234771081.79000002</v>
      </c>
      <c r="Q16" s="19">
        <v>235135831.94</v>
      </c>
      <c r="R16" s="19">
        <f t="shared" si="0"/>
        <v>215706373.28769237</v>
      </c>
      <c r="S16" s="1"/>
      <c r="T16" s="1"/>
      <c r="U16" s="297">
        <v>43466</v>
      </c>
      <c r="V16" s="298"/>
      <c r="W16" s="297">
        <v>43497</v>
      </c>
      <c r="X16" s="298"/>
      <c r="Y16" s="297">
        <v>43525</v>
      </c>
      <c r="Z16" s="298"/>
      <c r="AA16" s="297">
        <v>43556</v>
      </c>
      <c r="AB16" s="298"/>
      <c r="AC16" s="297">
        <v>43586</v>
      </c>
      <c r="AD16" s="298"/>
      <c r="AE16" s="297">
        <v>43617</v>
      </c>
      <c r="AF16" s="298"/>
      <c r="AG16" s="297">
        <v>43647</v>
      </c>
      <c r="AH16" s="298"/>
      <c r="AI16" s="297">
        <v>43678</v>
      </c>
      <c r="AJ16" s="298"/>
      <c r="AK16" s="297">
        <v>43709</v>
      </c>
      <c r="AL16" s="298"/>
      <c r="AM16" s="297">
        <v>43739</v>
      </c>
      <c r="AN16" s="298"/>
      <c r="AO16" s="297">
        <v>43770</v>
      </c>
      <c r="AP16" s="298"/>
      <c r="AQ16" s="297">
        <v>43800</v>
      </c>
      <c r="AR16" s="298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</row>
    <row r="17" spans="1:71">
      <c r="A17" s="9">
        <f t="shared" si="1"/>
        <v>3</v>
      </c>
      <c r="B17" s="3"/>
      <c r="C17" s="97" t="s">
        <v>216</v>
      </c>
      <c r="D17" s="1" t="s">
        <v>121</v>
      </c>
      <c r="E17" s="19">
        <v>394674920.72999978</v>
      </c>
      <c r="F17" s="19">
        <v>395710643.31</v>
      </c>
      <c r="G17" s="19">
        <v>402915698.61999989</v>
      </c>
      <c r="H17" s="19">
        <v>404108582.55999994</v>
      </c>
      <c r="I17" s="19">
        <v>405258461.14000005</v>
      </c>
      <c r="J17" s="19">
        <v>407731226.47000003</v>
      </c>
      <c r="K17" s="19">
        <v>408522479.14000005</v>
      </c>
      <c r="L17" s="19">
        <v>410717248.59999996</v>
      </c>
      <c r="M17" s="19">
        <v>411982527.79000002</v>
      </c>
      <c r="N17" s="19">
        <v>417585232.00000006</v>
      </c>
      <c r="O17" s="19">
        <v>421273438.87999988</v>
      </c>
      <c r="P17" s="19">
        <v>428174474.91999984</v>
      </c>
      <c r="Q17" s="19">
        <v>431783061.49999988</v>
      </c>
      <c r="R17" s="19">
        <f t="shared" si="0"/>
        <v>410802922.74307692</v>
      </c>
      <c r="S17" s="1"/>
      <c r="T17" s="1"/>
      <c r="U17" s="299" t="s">
        <v>459</v>
      </c>
      <c r="V17" s="299" t="s">
        <v>460</v>
      </c>
      <c r="W17" s="299" t="s">
        <v>459</v>
      </c>
      <c r="X17" s="299" t="s">
        <v>460</v>
      </c>
      <c r="Y17" s="299" t="s">
        <v>459</v>
      </c>
      <c r="Z17" s="299" t="s">
        <v>460</v>
      </c>
      <c r="AA17" s="299" t="s">
        <v>459</v>
      </c>
      <c r="AB17" s="299" t="s">
        <v>460</v>
      </c>
      <c r="AC17" s="299" t="s">
        <v>459</v>
      </c>
      <c r="AD17" s="299" t="s">
        <v>460</v>
      </c>
      <c r="AE17" s="299" t="s">
        <v>459</v>
      </c>
      <c r="AF17" s="299" t="s">
        <v>460</v>
      </c>
      <c r="AG17" s="299" t="s">
        <v>459</v>
      </c>
      <c r="AH17" s="299" t="s">
        <v>460</v>
      </c>
      <c r="AI17" s="299" t="s">
        <v>459</v>
      </c>
      <c r="AJ17" s="299" t="s">
        <v>460</v>
      </c>
      <c r="AK17" s="299" t="s">
        <v>459</v>
      </c>
      <c r="AL17" s="299" t="s">
        <v>460</v>
      </c>
      <c r="AM17" s="299" t="s">
        <v>459</v>
      </c>
      <c r="AN17" s="299" t="s">
        <v>460</v>
      </c>
      <c r="AO17" s="299" t="s">
        <v>459</v>
      </c>
      <c r="AP17" s="299" t="s">
        <v>460</v>
      </c>
      <c r="AQ17" s="299" t="s">
        <v>459</v>
      </c>
      <c r="AR17" s="299" t="s">
        <v>460</v>
      </c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</row>
    <row r="18" spans="1:71">
      <c r="A18" s="9">
        <f t="shared" si="1"/>
        <v>4</v>
      </c>
      <c r="B18" s="3"/>
      <c r="C18" s="97" t="s">
        <v>217</v>
      </c>
      <c r="D18" s="1" t="s">
        <v>407</v>
      </c>
      <c r="E18" s="19">
        <v>42832155.160000019</v>
      </c>
      <c r="F18" s="19">
        <f>126337961.73-F20-U18</f>
        <v>44215218.420000017</v>
      </c>
      <c r="G18" s="19">
        <f>126402067.86-G20-W18</f>
        <v>44278024.780000016</v>
      </c>
      <c r="H18" s="19">
        <f>129582278.88-H20-Y18</f>
        <v>47445114.260000005</v>
      </c>
      <c r="I18" s="19">
        <f>130044253.49-I20-AA18</f>
        <v>47900015.289999992</v>
      </c>
      <c r="J18" s="19">
        <f>130326889.7-J20-AC18</f>
        <v>48182651.5</v>
      </c>
      <c r="K18" s="19">
        <f>130690733.18-L20-AE18</f>
        <v>48576086.680000007</v>
      </c>
      <c r="L18" s="19">
        <f>130793188.31-L20-AG18</f>
        <v>48610688.370000005</v>
      </c>
      <c r="M18" s="19">
        <f>130935554.97-M20-AI18</f>
        <v>48751258.329999998</v>
      </c>
      <c r="N18" s="19">
        <f>129312051.87-N20-AK18</f>
        <v>47208362.640000015</v>
      </c>
      <c r="O18" s="19">
        <f>132132709.27-O20-AM18</f>
        <v>49960086.49000001</v>
      </c>
      <c r="P18" s="19">
        <f>132229815.1-P20-AO18</f>
        <v>49805571.390000001</v>
      </c>
      <c r="Q18" s="19">
        <f>133508434.63-Q20-AQ18</f>
        <v>51072235.319999993</v>
      </c>
      <c r="R18" s="19">
        <f t="shared" si="0"/>
        <v>47602882.202307701</v>
      </c>
      <c r="S18" s="1"/>
      <c r="T18" s="1"/>
      <c r="U18" s="98">
        <v>75031308.929999992</v>
      </c>
      <c r="V18" s="98">
        <v>2903615.4824804775</v>
      </c>
      <c r="W18" s="98">
        <v>75032608.699999988</v>
      </c>
      <c r="X18" s="98">
        <v>3090032.4940039786</v>
      </c>
      <c r="Y18" s="98">
        <v>75045730.239999995</v>
      </c>
      <c r="Z18" s="98">
        <v>3276784.2986946465</v>
      </c>
      <c r="AA18" s="98">
        <v>75051315.530000001</v>
      </c>
      <c r="AB18" s="98">
        <v>3463288.218023927</v>
      </c>
      <c r="AC18" s="98">
        <v>75051315.530000001</v>
      </c>
      <c r="AD18" s="98">
        <v>3650132.6316337576</v>
      </c>
      <c r="AE18" s="98">
        <v>75067401.030000001</v>
      </c>
      <c r="AF18" s="98">
        <v>3837654.7385607827</v>
      </c>
      <c r="AG18" s="98">
        <v>75135254.469999999</v>
      </c>
      <c r="AH18" s="98">
        <v>4025219.0670511029</v>
      </c>
      <c r="AI18" s="98">
        <v>75137051.170000002</v>
      </c>
      <c r="AJ18" s="98">
        <v>4212400.6336642597</v>
      </c>
      <c r="AK18" s="98">
        <v>75296153.039999992</v>
      </c>
      <c r="AL18" s="98">
        <v>4402044.6363615878</v>
      </c>
      <c r="AM18" s="98">
        <v>75365086.589999989</v>
      </c>
      <c r="AN18" s="98">
        <v>4591106.7871330231</v>
      </c>
      <c r="AO18" s="98">
        <v>75402185.36999999</v>
      </c>
      <c r="AP18" s="98">
        <v>4783074.2626780793</v>
      </c>
      <c r="AQ18" s="98">
        <v>75413993.629999995</v>
      </c>
      <c r="AR18" s="98">
        <v>5009156.4617145257</v>
      </c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</row>
    <row r="19" spans="1:71">
      <c r="A19" s="9">
        <f t="shared" si="1"/>
        <v>5</v>
      </c>
      <c r="B19" s="3"/>
      <c r="C19" s="97" t="s">
        <v>137</v>
      </c>
      <c r="D19" s="1" t="s">
        <v>443</v>
      </c>
      <c r="E19" s="19">
        <v>29321754</v>
      </c>
      <c r="F19" s="19">
        <v>30330942</v>
      </c>
      <c r="G19" s="19">
        <v>30398381</v>
      </c>
      <c r="H19" s="19">
        <v>30860738</v>
      </c>
      <c r="I19" s="19">
        <v>30775559</v>
      </c>
      <c r="J19" s="19">
        <v>30805874</v>
      </c>
      <c r="K19" s="19">
        <v>30390370</v>
      </c>
      <c r="L19" s="19">
        <v>30599919</v>
      </c>
      <c r="M19" s="19">
        <v>30565427</v>
      </c>
      <c r="N19" s="19">
        <v>29229612</v>
      </c>
      <c r="O19" s="19">
        <v>29247645</v>
      </c>
      <c r="P19" s="19">
        <v>29931536</v>
      </c>
      <c r="Q19" s="19">
        <v>31833271</v>
      </c>
      <c r="R19" s="19">
        <f>AVERAGE(E19:Q19)</f>
        <v>30330079.076923076</v>
      </c>
      <c r="S19" s="1"/>
      <c r="T19" s="1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</row>
    <row r="20" spans="1:71">
      <c r="A20" s="9">
        <f t="shared" si="1"/>
        <v>6</v>
      </c>
      <c r="B20" s="3"/>
      <c r="C20" s="97" t="s">
        <v>102</v>
      </c>
      <c r="D20" s="1" t="s">
        <v>101</v>
      </c>
      <c r="E20" s="19">
        <v>7921110.1200000001</v>
      </c>
      <c r="F20" s="19">
        <v>7091434.3799999999</v>
      </c>
      <c r="G20" s="19">
        <v>7091434.3799999999</v>
      </c>
      <c r="H20" s="19">
        <v>7091434.3799999999</v>
      </c>
      <c r="I20" s="19">
        <v>7092922.6699999999</v>
      </c>
      <c r="J20" s="19">
        <v>7092922.6699999999</v>
      </c>
      <c r="K20" s="19">
        <v>7047245.4699999997</v>
      </c>
      <c r="L20" s="19">
        <v>7047245.4699999997</v>
      </c>
      <c r="M20" s="19">
        <v>7047245.4699999997</v>
      </c>
      <c r="N20" s="19">
        <v>6807536.1899999995</v>
      </c>
      <c r="O20" s="19">
        <v>6807536.1899999995</v>
      </c>
      <c r="P20" s="19">
        <v>7022058.3399999999</v>
      </c>
      <c r="Q20" s="19">
        <v>7022205.6799999997</v>
      </c>
      <c r="R20" s="19">
        <f t="shared" si="0"/>
        <v>7090948.5699999994</v>
      </c>
      <c r="S20" s="1"/>
      <c r="T20" s="1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</row>
    <row r="21" spans="1:71">
      <c r="A21" s="9">
        <f t="shared" si="1"/>
        <v>7</v>
      </c>
      <c r="B21" s="3"/>
      <c r="C21" s="97" t="s">
        <v>219</v>
      </c>
      <c r="D21" s="1" t="s">
        <v>220</v>
      </c>
      <c r="E21" s="19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0</v>
      </c>
      <c r="R21" s="19">
        <f t="shared" si="0"/>
        <v>0</v>
      </c>
      <c r="S21" s="1"/>
      <c r="T21" s="1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</row>
    <row r="22" spans="1:71">
      <c r="A22" s="9">
        <f t="shared" si="1"/>
        <v>8</v>
      </c>
      <c r="B22" s="3"/>
      <c r="C22" s="96" t="s">
        <v>5</v>
      </c>
      <c r="D22" s="1" t="str">
        <f>"(sum lines "&amp;A15&amp;" - "&amp;A21&amp;")"</f>
        <v>(sum lines 1 - 7)</v>
      </c>
      <c r="E22" s="49">
        <f>SUM(E15:E21)</f>
        <v>1275152403.3799999</v>
      </c>
      <c r="F22" s="49">
        <f>SUM(F15:F21)</f>
        <v>1278758948.6800003</v>
      </c>
      <c r="G22" s="49">
        <f t="shared" ref="G22:R22" si="2">SUM(G15:G21)</f>
        <v>1285983814.7</v>
      </c>
      <c r="H22" s="49">
        <f t="shared" si="2"/>
        <v>1290544577.03</v>
      </c>
      <c r="I22" s="49">
        <f t="shared" si="2"/>
        <v>1292410173.3500001</v>
      </c>
      <c r="J22" s="49">
        <f t="shared" si="2"/>
        <v>1294579400.8800001</v>
      </c>
      <c r="K22" s="49">
        <f t="shared" si="2"/>
        <v>1298892920.9100003</v>
      </c>
      <c r="L22" s="49">
        <f t="shared" si="2"/>
        <v>1307566811.1299999</v>
      </c>
      <c r="M22" s="49">
        <f t="shared" si="2"/>
        <v>1308985684.3599999</v>
      </c>
      <c r="N22" s="49">
        <f t="shared" si="2"/>
        <v>1337753159.8900001</v>
      </c>
      <c r="O22" s="49">
        <f t="shared" si="2"/>
        <v>1344338832.8299999</v>
      </c>
      <c r="P22" s="49">
        <f t="shared" si="2"/>
        <v>1357805558.2999997</v>
      </c>
      <c r="Q22" s="49">
        <f t="shared" si="2"/>
        <v>1373083909.98</v>
      </c>
      <c r="R22" s="49">
        <f t="shared" si="2"/>
        <v>1311219707.3400002</v>
      </c>
      <c r="S22" s="1"/>
      <c r="T22" s="1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</row>
    <row r="23" spans="1:71" ht="15.75" thickBot="1">
      <c r="A23" s="9">
        <f t="shared" si="1"/>
        <v>9</v>
      </c>
      <c r="B23" s="3"/>
      <c r="C23" s="97"/>
      <c r="D23" s="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"/>
      <c r="T23" s="1"/>
      <c r="U23" s="76" t="s">
        <v>464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</row>
    <row r="24" spans="1:71">
      <c r="A24" s="9">
        <f t="shared" si="1"/>
        <v>10</v>
      </c>
      <c r="B24" s="3"/>
      <c r="C24" s="97" t="s">
        <v>42</v>
      </c>
      <c r="D24" s="1" t="s">
        <v>412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"/>
      <c r="T24" s="1"/>
      <c r="V24" s="342" t="s">
        <v>465</v>
      </c>
      <c r="W24" s="343"/>
      <c r="X24" s="343"/>
      <c r="Y24" s="343"/>
      <c r="Z24" s="343"/>
      <c r="AA24" s="344"/>
      <c r="AC24" s="19"/>
      <c r="AD24" s="19"/>
      <c r="AE24" s="19"/>
      <c r="AF24" s="19"/>
      <c r="AG24" s="19"/>
      <c r="AH24" s="19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</row>
    <row r="25" spans="1:71">
      <c r="A25" s="9">
        <f t="shared" si="1"/>
        <v>11</v>
      </c>
      <c r="B25" s="3"/>
      <c r="C25" s="97" t="str">
        <f>+C15</f>
        <v xml:space="preserve">  Production</v>
      </c>
      <c r="D25" s="1" t="s">
        <v>408</v>
      </c>
      <c r="E25" s="19">
        <v>202286781.35704654</v>
      </c>
      <c r="F25" s="19">
        <f>203760283.76-X35</f>
        <v>203641679.94836178</v>
      </c>
      <c r="G25" s="19">
        <f>205136543.98-X47</f>
        <v>204962614.3216821</v>
      </c>
      <c r="H25" s="19">
        <f>206513181.17-X58</f>
        <v>206313803.45872927</v>
      </c>
      <c r="I25" s="19">
        <f>207768595.31-X69</f>
        <v>208073178.2712504</v>
      </c>
      <c r="J25" s="19">
        <f>209106961.9-X80</f>
        <v>209500021.55685672</v>
      </c>
      <c r="K25" s="19">
        <f>210140218.83-X91</f>
        <v>210531332.92679954</v>
      </c>
      <c r="L25" s="19">
        <f>211230456.13-X101</f>
        <v>211101493.85616234</v>
      </c>
      <c r="M25" s="19">
        <f>212173990.37-X111</f>
        <v>211828324.84351215</v>
      </c>
      <c r="N25" s="19">
        <f>213575121.88-X121</f>
        <v>213193711.11432022</v>
      </c>
      <c r="O25" s="19">
        <f>214979776.54-X131</f>
        <v>214571681.34663677</v>
      </c>
      <c r="P25" s="19">
        <f>216388359.11-X142</f>
        <v>215954315.49548233</v>
      </c>
      <c r="Q25" s="19">
        <f>217292128.48-X153</f>
        <v>216844325.024499</v>
      </c>
      <c r="R25" s="19">
        <f t="shared" ref="R25:R31" si="3">AVERAGE(E25:Q25)</f>
        <v>209907943.34779534</v>
      </c>
      <c r="S25" s="1"/>
      <c r="T25" s="1"/>
      <c r="V25" s="300"/>
      <c r="W25" s="301" t="s">
        <v>466</v>
      </c>
      <c r="X25" s="301" t="s">
        <v>467</v>
      </c>
      <c r="Y25" s="302"/>
      <c r="Z25" s="303"/>
      <c r="AA25" s="304"/>
      <c r="AC25" s="19"/>
      <c r="AD25" s="19"/>
      <c r="AE25" s="19"/>
      <c r="AF25" s="19"/>
      <c r="AG25" s="19"/>
      <c r="AH25" s="19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</row>
    <row r="26" spans="1:71">
      <c r="A26" s="9">
        <f t="shared" si="1"/>
        <v>12</v>
      </c>
      <c r="B26" s="3"/>
      <c r="C26" s="97" t="s">
        <v>215</v>
      </c>
      <c r="D26" s="1" t="s">
        <v>122</v>
      </c>
      <c r="E26" s="19">
        <f>47705701.42+M51</f>
        <v>49165690.251400501</v>
      </c>
      <c r="F26" s="19">
        <f>48095405.75+M52-X36</f>
        <v>49536983.153161094</v>
      </c>
      <c r="G26" s="19">
        <f>48466150.67+M53-X48</f>
        <v>49904659.450225174</v>
      </c>
      <c r="H26" s="19">
        <f>48836387.57+M54-X59</f>
        <v>50279061.448495165</v>
      </c>
      <c r="I26" s="19">
        <f>49200786.8+M55-X70</f>
        <v>50776775.393888436</v>
      </c>
      <c r="J26" s="19">
        <f>49086806.55+M56-X81</f>
        <v>50693946.961910501</v>
      </c>
      <c r="K26" s="19">
        <f>49195454.06+M57-X92</f>
        <v>50812235.407130711</v>
      </c>
      <c r="L26" s="19">
        <f>49564135.93+M58-X102</f>
        <v>51065675.902762428</v>
      </c>
      <c r="M26" s="19">
        <f>49952699.27+M59-X112</f>
        <v>51411889.309887767</v>
      </c>
      <c r="N26" s="19">
        <f>50366515.26+M60-X122</f>
        <v>51828490.694219083</v>
      </c>
      <c r="O26" s="19">
        <f>50604486.43+M61-X132</f>
        <v>52071745.703569792</v>
      </c>
      <c r="P26" s="19">
        <f>51031398.21+M62-X143</f>
        <v>52503904.731903821</v>
      </c>
      <c r="Q26" s="19">
        <f>51475156.87+M63-X154</f>
        <v>52955588.904141106</v>
      </c>
      <c r="R26" s="19">
        <f t="shared" si="3"/>
        <v>51000511.331745811</v>
      </c>
      <c r="S26" s="1"/>
      <c r="T26" s="1"/>
      <c r="U26" s="302" t="s">
        <v>473</v>
      </c>
      <c r="V26" s="305" t="s">
        <v>468</v>
      </c>
      <c r="W26" s="302" t="s">
        <v>469</v>
      </c>
      <c r="X26" s="302" t="s">
        <v>469</v>
      </c>
      <c r="Y26" s="302" t="s">
        <v>470</v>
      </c>
      <c r="Z26" s="302" t="s">
        <v>471</v>
      </c>
      <c r="AA26" s="306" t="s">
        <v>472</v>
      </c>
      <c r="AB26" s="307" t="s">
        <v>474</v>
      </c>
      <c r="AC26" s="19"/>
      <c r="AD26" s="19"/>
      <c r="AE26" s="19"/>
      <c r="AF26" s="19"/>
      <c r="AG26" s="19"/>
      <c r="AH26" s="19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</row>
    <row r="27" spans="1:71">
      <c r="A27" s="9">
        <f t="shared" si="1"/>
        <v>13</v>
      </c>
      <c r="B27" s="3"/>
      <c r="C27" s="97" t="s">
        <v>216</v>
      </c>
      <c r="D27" s="1" t="s">
        <v>123</v>
      </c>
      <c r="E27" s="19">
        <v>141957768.58000001</v>
      </c>
      <c r="F27" s="19">
        <f>142867249.79-X37</f>
        <v>142784090.30439916</v>
      </c>
      <c r="G27" s="19">
        <f>143253257.71-X49</f>
        <v>143131797.19553968</v>
      </c>
      <c r="H27" s="19">
        <f>143988873.1-X60</f>
        <v>143849859.34889472</v>
      </c>
      <c r="I27" s="19">
        <f>144711487.92-X71</f>
        <v>144923630.92193857</v>
      </c>
      <c r="J27" s="19">
        <f>145062057.2-X82</f>
        <v>145334731.25115487</v>
      </c>
      <c r="K27" s="19">
        <f>145668508.23-X93</f>
        <v>145939627.23494688</v>
      </c>
      <c r="L27" s="19">
        <f>146190836.82-X103</f>
        <v>146101583.10594782</v>
      </c>
      <c r="M27" s="19">
        <f>146984341.64-X113</f>
        <v>146744880.52721298</v>
      </c>
      <c r="N27" s="19">
        <f>147901817.29-X123</f>
        <v>147637688.46787199</v>
      </c>
      <c r="O27" s="19">
        <f>148674429.4-X133</f>
        <v>148392201.36445791</v>
      </c>
      <c r="P27" s="19">
        <f>149379243.83-X144</f>
        <v>149079610.76659232</v>
      </c>
      <c r="Q27" s="19">
        <f>150299349.42-X155</f>
        <v>149989607.09983113</v>
      </c>
      <c r="R27" s="19">
        <f>AVERAGE(E27:Q27)</f>
        <v>145835928.93606061</v>
      </c>
      <c r="S27" s="1"/>
      <c r="T27" s="1"/>
      <c r="U27" s="308">
        <v>2018</v>
      </c>
      <c r="V27" s="309">
        <v>74596278.159999982</v>
      </c>
      <c r="W27" s="310">
        <v>2710088.2070119055</v>
      </c>
      <c r="X27" s="311">
        <v>-1522535.8414985002</v>
      </c>
      <c r="Y27" s="311">
        <v>249385.9967578151</v>
      </c>
      <c r="Z27" s="310">
        <v>72135575.949745893</v>
      </c>
      <c r="AA27" s="312">
        <v>73365927.05487293</v>
      </c>
      <c r="AB27" s="311">
        <v>630193</v>
      </c>
      <c r="AC27" s="19"/>
      <c r="AD27" s="19"/>
      <c r="AE27" s="19"/>
      <c r="AF27" s="19"/>
      <c r="AG27" s="19"/>
      <c r="AH27" s="19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</row>
    <row r="28" spans="1:71">
      <c r="A28" s="9">
        <f t="shared" si="1"/>
        <v>14</v>
      </c>
      <c r="B28" s="3"/>
      <c r="C28" s="97" t="str">
        <f>+C18</f>
        <v xml:space="preserve">  General &amp; Intangible</v>
      </c>
      <c r="D28" s="1" t="s">
        <v>444</v>
      </c>
      <c r="E28" s="19">
        <f>18229100.9846517+K51</f>
        <v>25523256.743173447</v>
      </c>
      <c r="F28" s="19">
        <f>24151638.54-F30-V18+K52-X38</f>
        <v>24287782.010318723</v>
      </c>
      <c r="G28" s="19">
        <f>24496771.08-G30-X18+K53-X50</f>
        <v>24461362.487458974</v>
      </c>
      <c r="H28" s="19">
        <f>24844800.31-H30-Z18+K54-X61</f>
        <v>24646725.591766436</v>
      </c>
      <c r="I28" s="19">
        <f>25195406.49-I30-AB18+K55-X72</f>
        <v>24910306.281136237</v>
      </c>
      <c r="J28" s="19">
        <f>25478703.02-J30-AD18+K56-X83</f>
        <v>25048084.789729312</v>
      </c>
      <c r="K28" s="19">
        <f>25500185.44-K30-AF18+K57-X94</f>
        <v>24956700.315289501</v>
      </c>
      <c r="L28" s="19">
        <f>25810757.67-L30-AH18+K58-X104</f>
        <v>25036771.717066023</v>
      </c>
      <c r="M28" s="19">
        <f>26222520.73-M30-AJ18+K59-X114</f>
        <v>25260475.985579103</v>
      </c>
      <c r="N28" s="19">
        <f>24708343.67-N30-AL18+K60-X124</f>
        <v>23822485.306582086</v>
      </c>
      <c r="O28" s="19">
        <f>24997915.87-O30-AN18+K61-X134</f>
        <v>23952182.760277666</v>
      </c>
      <c r="P28" s="19">
        <f>25280819.37-P30-AP18+K62-X145</f>
        <v>24132437.281112738</v>
      </c>
      <c r="Q28" s="19">
        <f>25632638.84-Q30-AR18+K63-X156</f>
        <v>24290489.223024126</v>
      </c>
      <c r="R28" s="19">
        <f>AVERAGE(E28:Q28)</f>
        <v>24640696.960962646</v>
      </c>
      <c r="S28" s="1"/>
      <c r="T28" s="1"/>
      <c r="U28" s="303">
        <f>U27+1</f>
        <v>2019</v>
      </c>
      <c r="V28" s="309">
        <v>75402185.279999986</v>
      </c>
      <c r="W28" s="310">
        <v>2775185.752119048</v>
      </c>
      <c r="X28" s="311">
        <v>-3555370.9024919001</v>
      </c>
      <c r="Y28" s="311">
        <v>85547.115179516171</v>
      </c>
      <c r="Z28" s="310">
        <v>70002458.436048537</v>
      </c>
      <c r="AA28" s="312">
        <v>71069017.192897215</v>
      </c>
      <c r="AB28" s="311">
        <v>645000</v>
      </c>
      <c r="AC28" s="19"/>
      <c r="AD28" s="19"/>
      <c r="AE28" s="19"/>
      <c r="AF28" s="19"/>
      <c r="AG28" s="19"/>
      <c r="AH28" s="19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</row>
    <row r="29" spans="1:71">
      <c r="A29" s="9">
        <f t="shared" si="1"/>
        <v>15</v>
      </c>
      <c r="B29" s="3"/>
      <c r="C29" s="97" t="s">
        <v>137</v>
      </c>
      <c r="D29" s="1" t="s">
        <v>445</v>
      </c>
      <c r="E29" s="19">
        <v>13627289</v>
      </c>
      <c r="F29" s="19">
        <f>14110294</f>
        <v>14110294</v>
      </c>
      <c r="G29" s="19">
        <v>14358424</v>
      </c>
      <c r="H29" s="19">
        <v>14513732</v>
      </c>
      <c r="I29" s="19">
        <v>14764589</v>
      </c>
      <c r="J29" s="19">
        <v>14994910</v>
      </c>
      <c r="K29" s="19">
        <v>15035404</v>
      </c>
      <c r="L29" s="19">
        <v>15260112</v>
      </c>
      <c r="M29" s="19">
        <v>15464273</v>
      </c>
      <c r="N29" s="19">
        <v>14190179</v>
      </c>
      <c r="O29" s="19">
        <v>14431238</v>
      </c>
      <c r="P29" s="19">
        <v>14655724</v>
      </c>
      <c r="Q29" s="19">
        <v>14419049</v>
      </c>
      <c r="R29" s="19">
        <f>AVERAGE(E29:Q29)</f>
        <v>14601939.76923077</v>
      </c>
      <c r="S29" s="1"/>
      <c r="T29" s="1"/>
      <c r="AB29" s="19"/>
      <c r="AC29" s="19"/>
      <c r="AD29" s="19"/>
      <c r="AE29" s="19"/>
      <c r="AF29" s="19"/>
      <c r="AG29" s="19"/>
      <c r="AH29" s="19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</row>
    <row r="30" spans="1:71">
      <c r="A30" s="9">
        <f t="shared" si="1"/>
        <v>16</v>
      </c>
      <c r="B30" s="3"/>
      <c r="C30" s="97" t="str">
        <f>+C20</f>
        <v xml:space="preserve">  Communication System</v>
      </c>
      <c r="D30" s="1" t="s">
        <v>446</v>
      </c>
      <c r="E30" s="19">
        <f>2860353.64+L51</f>
        <v>4260306.5963160014</v>
      </c>
      <c r="F30" s="19">
        <f>2896877.88+L52</f>
        <v>4308118.0360375009</v>
      </c>
      <c r="G30" s="19">
        <f>2933402.12+L53</f>
        <v>4355929.4757590014</v>
      </c>
      <c r="H30" s="19">
        <f>2969926.36+L54</f>
        <v>4403740.915480501</v>
      </c>
      <c r="I30" s="19">
        <f>3006453.7+L55</f>
        <v>4451557.8240635842</v>
      </c>
      <c r="J30" s="19">
        <f>3042984.14+L56</f>
        <v>4499377.832646668</v>
      </c>
      <c r="K30" s="19">
        <f>3033718.24+L57</f>
        <v>4501328.7983530853</v>
      </c>
      <c r="L30" s="19">
        <f>3070010.4+L58</f>
        <v>4548837.8240595013</v>
      </c>
      <c r="M30" s="19">
        <f>3106618.96+L59</f>
        <v>4596663.2497659177</v>
      </c>
      <c r="N30" s="19">
        <f>2903316.19+L60</f>
        <v>4404195.8082016679</v>
      </c>
      <c r="O30" s="19">
        <f>2939291.55+L61</f>
        <v>4451006.4966374179</v>
      </c>
      <c r="P30" s="19">
        <f>2914667.9+L62</f>
        <v>4437559.6228285842</v>
      </c>
      <c r="Q30" s="19">
        <f>2950465.57+L63</f>
        <v>4484534.3035359178</v>
      </c>
      <c r="R30" s="19">
        <f t="shared" si="3"/>
        <v>4438704.3679757956</v>
      </c>
      <c r="S30" s="1"/>
      <c r="T30" s="1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</row>
    <row r="31" spans="1:71">
      <c r="A31" s="9">
        <f t="shared" si="1"/>
        <v>17</v>
      </c>
      <c r="B31" s="3"/>
      <c r="C31" s="97" t="str">
        <f>+C21</f>
        <v xml:space="preserve">  Common</v>
      </c>
      <c r="D31" s="1" t="s">
        <v>220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>
        <v>0</v>
      </c>
      <c r="R31" s="19">
        <f t="shared" si="3"/>
        <v>0</v>
      </c>
      <c r="S31" s="1"/>
      <c r="T31" s="1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</row>
    <row r="32" spans="1:71" ht="15.75" thickBot="1">
      <c r="A32" s="9">
        <f t="shared" si="1"/>
        <v>18</v>
      </c>
      <c r="B32" s="3"/>
      <c r="C32" s="97" t="s">
        <v>7</v>
      </c>
      <c r="D32" s="1" t="str">
        <f>"(sum lines "&amp;A25&amp;" - "&amp;A31&amp;")"</f>
        <v>(sum lines 11 - 17)</v>
      </c>
      <c r="E32" s="49">
        <f>SUM(E25:E31)</f>
        <v>436821092.52793646</v>
      </c>
      <c r="F32" s="49">
        <f>SUM(F25:F31)</f>
        <v>438668947.45227826</v>
      </c>
      <c r="G32" s="49">
        <f t="shared" ref="G32:R32" si="4">SUM(G25:G31)</f>
        <v>441174786.9306649</v>
      </c>
      <c r="H32" s="49">
        <f t="shared" si="4"/>
        <v>444006922.76336604</v>
      </c>
      <c r="I32" s="49">
        <f t="shared" si="4"/>
        <v>447900037.69227719</v>
      </c>
      <c r="J32" s="49">
        <f t="shared" si="4"/>
        <v>450071072.3922981</v>
      </c>
      <c r="K32" s="49">
        <f t="shared" si="4"/>
        <v>451776628.68251967</v>
      </c>
      <c r="L32" s="49">
        <f t="shared" si="4"/>
        <v>453114474.40599811</v>
      </c>
      <c r="M32" s="49">
        <f t="shared" si="4"/>
        <v>455306506.91595799</v>
      </c>
      <c r="N32" s="49">
        <f t="shared" si="4"/>
        <v>455076750.39119506</v>
      </c>
      <c r="O32" s="49">
        <f>SUM(O25:O31)</f>
        <v>457870055.6715796</v>
      </c>
      <c r="P32" s="49">
        <f>SUM(P25:P31)</f>
        <v>460763551.89791977</v>
      </c>
      <c r="Q32" s="49">
        <f>SUM(Q25:Q31)</f>
        <v>462983593.5550313</v>
      </c>
      <c r="R32" s="49">
        <f t="shared" si="4"/>
        <v>450425724.71377099</v>
      </c>
      <c r="S32" s="1"/>
      <c r="T32" s="1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</row>
    <row r="33" spans="1:71" ht="26.25" thickBot="1">
      <c r="A33" s="9">
        <f t="shared" si="1"/>
        <v>19</v>
      </c>
      <c r="B33" s="3"/>
      <c r="C33" s="3"/>
      <c r="D33" s="1" t="s">
        <v>194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"/>
      <c r="T33" s="1"/>
      <c r="U33" s="313"/>
      <c r="V33" s="314" t="s">
        <v>476</v>
      </c>
      <c r="W33" s="315" t="s">
        <v>477</v>
      </c>
      <c r="X33" s="315" t="s">
        <v>478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</row>
    <row r="34" spans="1:71">
      <c r="A34" s="9">
        <f t="shared" si="1"/>
        <v>20</v>
      </c>
      <c r="B34" s="3"/>
      <c r="C34" s="97" t="s">
        <v>223</v>
      </c>
      <c r="D34" s="1" t="s">
        <v>412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"/>
      <c r="T34" s="1"/>
      <c r="U34" s="313"/>
      <c r="V34" s="316">
        <v>43466</v>
      </c>
      <c r="W34" s="313"/>
      <c r="X34" s="317">
        <v>247269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</row>
    <row r="35" spans="1:71">
      <c r="A35" s="9">
        <f t="shared" si="1"/>
        <v>21</v>
      </c>
      <c r="B35" s="3"/>
      <c r="C35" s="97" t="str">
        <f>+C25</f>
        <v xml:space="preserve">  Production</v>
      </c>
      <c r="D35" s="1" t="str">
        <f t="shared" ref="D35:D41" si="5">"(line "&amp;A15&amp;" - line "&amp;A25&amp;")"</f>
        <v>(line 1 - line 11)</v>
      </c>
      <c r="E35" s="19">
        <f t="shared" ref="E35:E41" si="6">+E15-E25</f>
        <v>389960020.28295344</v>
      </c>
      <c r="F35" s="19">
        <f t="shared" ref="F35:Q35" si="7">+F15-F25</f>
        <v>388976720.26163828</v>
      </c>
      <c r="G35" s="19">
        <f t="shared" si="7"/>
        <v>387756985.5583179</v>
      </c>
      <c r="H35" s="19">
        <f t="shared" si="7"/>
        <v>386622493.81127071</v>
      </c>
      <c r="I35" s="19">
        <f t="shared" si="7"/>
        <v>385357625.56874967</v>
      </c>
      <c r="J35" s="19">
        <f t="shared" si="7"/>
        <v>383881838.15314329</v>
      </c>
      <c r="K35" s="19">
        <f t="shared" si="7"/>
        <v>386714023.0332005</v>
      </c>
      <c r="L35" s="19">
        <f t="shared" si="7"/>
        <v>392469222.90383768</v>
      </c>
      <c r="M35" s="19">
        <f t="shared" si="7"/>
        <v>391833626.3064878</v>
      </c>
      <c r="N35" s="19">
        <f t="shared" si="7"/>
        <v>391460491.29567975</v>
      </c>
      <c r="O35" s="19">
        <f t="shared" si="7"/>
        <v>390548708.40336323</v>
      </c>
      <c r="P35" s="19">
        <f t="shared" si="7"/>
        <v>392146520.36451757</v>
      </c>
      <c r="Q35" s="19">
        <f t="shared" si="7"/>
        <v>399392979.51550096</v>
      </c>
      <c r="R35" s="19">
        <f>R15-R25</f>
        <v>389778558.11220455</v>
      </c>
      <c r="S35" s="1"/>
      <c r="T35" s="1"/>
      <c r="U35" s="313" t="s">
        <v>479</v>
      </c>
      <c r="V35" s="318">
        <v>203760283.76000002</v>
      </c>
      <c r="W35" s="319">
        <v>0.47965499774823761</v>
      </c>
      <c r="X35" s="320">
        <v>118603.81163820896</v>
      </c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</row>
    <row r="36" spans="1:71">
      <c r="A36" s="9">
        <f t="shared" si="1"/>
        <v>22</v>
      </c>
      <c r="B36" s="3"/>
      <c r="C36" s="97" t="s">
        <v>215</v>
      </c>
      <c r="D36" s="1" t="str">
        <f t="shared" si="5"/>
        <v>(line 2 - line 12)</v>
      </c>
      <c r="E36" s="19">
        <f t="shared" si="6"/>
        <v>158989971.47859952</v>
      </c>
      <c r="F36" s="19">
        <f t="shared" ref="F36:Q41" si="8">+F16-F26</f>
        <v>159255327.20683897</v>
      </c>
      <c r="G36" s="19">
        <f t="shared" si="8"/>
        <v>158676016.58977485</v>
      </c>
      <c r="H36" s="19">
        <f t="shared" si="8"/>
        <v>157823349.11150485</v>
      </c>
      <c r="I36" s="19">
        <f t="shared" si="8"/>
        <v>157175636.01611158</v>
      </c>
      <c r="J36" s="19">
        <f t="shared" si="8"/>
        <v>156690919.56808954</v>
      </c>
      <c r="K36" s="19">
        <f t="shared" si="8"/>
        <v>156299148.25286931</v>
      </c>
      <c r="L36" s="19">
        <f t="shared" si="8"/>
        <v>155955317.02723753</v>
      </c>
      <c r="M36" s="19">
        <f t="shared" si="8"/>
        <v>155565385.31011227</v>
      </c>
      <c r="N36" s="19">
        <f t="shared" si="8"/>
        <v>180439723.95578095</v>
      </c>
      <c r="O36" s="19">
        <f t="shared" si="8"/>
        <v>179857990.81643021</v>
      </c>
      <c r="P36" s="19">
        <f t="shared" si="8"/>
        <v>182267177.0580962</v>
      </c>
      <c r="Q36" s="19">
        <f t="shared" si="8"/>
        <v>182180243.0358589</v>
      </c>
      <c r="R36" s="19">
        <f t="shared" ref="R36:R41" si="9">R16-R26</f>
        <v>164705861.95594656</v>
      </c>
      <c r="S36" s="1"/>
      <c r="T36" s="1"/>
      <c r="U36" s="313" t="s">
        <v>207</v>
      </c>
      <c r="V36" s="318">
        <v>49565834.196918502</v>
      </c>
      <c r="W36" s="319">
        <v>0.11667877395633865</v>
      </c>
      <c r="X36" s="320">
        <v>28851.043757409901</v>
      </c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</row>
    <row r="37" spans="1:71">
      <c r="A37" s="9">
        <f t="shared" si="1"/>
        <v>23</v>
      </c>
      <c r="B37" s="3"/>
      <c r="C37" s="97" t="s">
        <v>297</v>
      </c>
      <c r="D37" s="1" t="str">
        <f t="shared" si="5"/>
        <v>(line 3 - line 13)</v>
      </c>
      <c r="E37" s="19">
        <f t="shared" si="6"/>
        <v>252717152.14999977</v>
      </c>
      <c r="F37" s="19">
        <f t="shared" si="8"/>
        <v>252926553.00560084</v>
      </c>
      <c r="G37" s="19">
        <f t="shared" si="8"/>
        <v>259783901.4244602</v>
      </c>
      <c r="H37" s="19">
        <f t="shared" si="8"/>
        <v>260258723.21110523</v>
      </c>
      <c r="I37" s="19">
        <f t="shared" si="8"/>
        <v>260334830.21806148</v>
      </c>
      <c r="J37" s="19">
        <f t="shared" si="8"/>
        <v>262396495.21884516</v>
      </c>
      <c r="K37" s="19">
        <f t="shared" si="8"/>
        <v>262582851.90505317</v>
      </c>
      <c r="L37" s="19">
        <f t="shared" si="8"/>
        <v>264615665.49405214</v>
      </c>
      <c r="M37" s="19">
        <f t="shared" si="8"/>
        <v>265237647.26278704</v>
      </c>
      <c r="N37" s="19">
        <f t="shared" si="8"/>
        <v>269947543.5321281</v>
      </c>
      <c r="O37" s="19">
        <f t="shared" si="8"/>
        <v>272881237.51554197</v>
      </c>
      <c r="P37" s="19">
        <f t="shared" si="8"/>
        <v>279094864.15340751</v>
      </c>
      <c r="Q37" s="19">
        <f t="shared" si="8"/>
        <v>281793454.40016878</v>
      </c>
      <c r="R37" s="19">
        <f t="shared" si="9"/>
        <v>264966993.80701631</v>
      </c>
      <c r="S37" s="1"/>
      <c r="T37" s="1"/>
      <c r="U37" s="313" t="s">
        <v>480</v>
      </c>
      <c r="V37" s="318">
        <v>142867249.78999999</v>
      </c>
      <c r="W37" s="319">
        <v>0.33631181264467702</v>
      </c>
      <c r="X37" s="320">
        <v>83159.485600836648</v>
      </c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</row>
    <row r="38" spans="1:71">
      <c r="A38" s="9">
        <f t="shared" si="1"/>
        <v>24</v>
      </c>
      <c r="B38" s="3"/>
      <c r="C38" s="97" t="str">
        <f>+C28</f>
        <v xml:space="preserve">  General &amp; Intangible</v>
      </c>
      <c r="D38" s="1" t="str">
        <f t="shared" si="5"/>
        <v>(line 4 - line 14)</v>
      </c>
      <c r="E38" s="19">
        <f t="shared" si="6"/>
        <v>17308898.416826572</v>
      </c>
      <c r="F38" s="19">
        <f t="shared" si="8"/>
        <v>19927436.409681294</v>
      </c>
      <c r="G38" s="19">
        <f t="shared" si="8"/>
        <v>19816662.292541042</v>
      </c>
      <c r="H38" s="19">
        <f t="shared" si="8"/>
        <v>22798388.66823357</v>
      </c>
      <c r="I38" s="19">
        <f t="shared" si="8"/>
        <v>22989709.008863755</v>
      </c>
      <c r="J38" s="19">
        <f t="shared" si="8"/>
        <v>23134566.710270688</v>
      </c>
      <c r="K38" s="19">
        <f t="shared" si="8"/>
        <v>23619386.364710506</v>
      </c>
      <c r="L38" s="19">
        <f t="shared" si="8"/>
        <v>23573916.652933981</v>
      </c>
      <c r="M38" s="19">
        <f t="shared" si="8"/>
        <v>23490782.344420895</v>
      </c>
      <c r="N38" s="19">
        <f t="shared" si="8"/>
        <v>23385877.33341793</v>
      </c>
      <c r="O38" s="19">
        <f t="shared" si="8"/>
        <v>26007903.729722343</v>
      </c>
      <c r="P38" s="19">
        <f t="shared" si="8"/>
        <v>25673134.108887263</v>
      </c>
      <c r="Q38" s="19">
        <f t="shared" si="8"/>
        <v>26781746.096975867</v>
      </c>
      <c r="R38" s="19">
        <f t="shared" si="9"/>
        <v>22962185.241345055</v>
      </c>
      <c r="S38" s="1"/>
      <c r="T38" s="1"/>
      <c r="U38" s="313" t="s">
        <v>481</v>
      </c>
      <c r="V38" s="318">
        <v>28612554.669322301</v>
      </c>
      <c r="W38" s="319">
        <v>6.7354415650746596E-2</v>
      </c>
      <c r="X38" s="320">
        <v>16654.659003544461</v>
      </c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</row>
    <row r="39" spans="1:71">
      <c r="A39" s="9">
        <f t="shared" si="1"/>
        <v>25</v>
      </c>
      <c r="B39" s="3"/>
      <c r="C39" s="97" t="s">
        <v>137</v>
      </c>
      <c r="D39" s="1" t="str">
        <f t="shared" si="5"/>
        <v>(line 5 - line 15)</v>
      </c>
      <c r="E39" s="19">
        <f t="shared" si="6"/>
        <v>15694465</v>
      </c>
      <c r="F39" s="19">
        <f t="shared" si="8"/>
        <v>16220648</v>
      </c>
      <c r="G39" s="19">
        <f t="shared" si="8"/>
        <v>16039957</v>
      </c>
      <c r="H39" s="19">
        <f t="shared" si="8"/>
        <v>16347006</v>
      </c>
      <c r="I39" s="19">
        <f t="shared" si="8"/>
        <v>16010970</v>
      </c>
      <c r="J39" s="19">
        <f t="shared" si="8"/>
        <v>15810964</v>
      </c>
      <c r="K39" s="19">
        <f t="shared" si="8"/>
        <v>15354966</v>
      </c>
      <c r="L39" s="19">
        <f t="shared" si="8"/>
        <v>15339807</v>
      </c>
      <c r="M39" s="19">
        <f t="shared" si="8"/>
        <v>15101154</v>
      </c>
      <c r="N39" s="19">
        <f t="shared" si="8"/>
        <v>15039433</v>
      </c>
      <c r="O39" s="19">
        <f t="shared" si="8"/>
        <v>14816407</v>
      </c>
      <c r="P39" s="19">
        <f t="shared" si="8"/>
        <v>15275812</v>
      </c>
      <c r="Q39" s="19">
        <f t="shared" si="8"/>
        <v>17414222</v>
      </c>
      <c r="R39" s="19">
        <f t="shared" si="9"/>
        <v>15728139.307692306</v>
      </c>
      <c r="S39" s="1"/>
      <c r="T39" s="1"/>
      <c r="U39" s="313"/>
      <c r="V39" s="318"/>
      <c r="W39" s="319"/>
      <c r="X39" s="320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</row>
    <row r="40" spans="1:71">
      <c r="A40" s="9">
        <f t="shared" si="1"/>
        <v>26</v>
      </c>
      <c r="B40" s="3"/>
      <c r="C40" s="97" t="str">
        <f>+C30</f>
        <v xml:space="preserve">  Communication System</v>
      </c>
      <c r="D40" s="1" t="str">
        <f t="shared" si="5"/>
        <v>(line 6 - line 16)</v>
      </c>
      <c r="E40" s="19">
        <f t="shared" si="6"/>
        <v>3660803.5236839987</v>
      </c>
      <c r="F40" s="19">
        <f t="shared" si="8"/>
        <v>2783316.3439624989</v>
      </c>
      <c r="G40" s="19">
        <f t="shared" si="8"/>
        <v>2735504.9042409984</v>
      </c>
      <c r="H40" s="19">
        <f t="shared" si="8"/>
        <v>2687693.4645194989</v>
      </c>
      <c r="I40" s="19">
        <f t="shared" si="8"/>
        <v>2641364.8459364157</v>
      </c>
      <c r="J40" s="19">
        <f t="shared" si="8"/>
        <v>2593544.837353332</v>
      </c>
      <c r="K40" s="19">
        <f t="shared" si="8"/>
        <v>2545916.6716469144</v>
      </c>
      <c r="L40" s="19">
        <f t="shared" si="8"/>
        <v>2498407.6459404984</v>
      </c>
      <c r="M40" s="19">
        <f t="shared" si="8"/>
        <v>2450582.2202340821</v>
      </c>
      <c r="N40" s="19">
        <f t="shared" si="8"/>
        <v>2403340.3817983316</v>
      </c>
      <c r="O40" s="19">
        <f t="shared" si="8"/>
        <v>2356529.6933625815</v>
      </c>
      <c r="P40" s="19">
        <f t="shared" si="8"/>
        <v>2584498.7171714157</v>
      </c>
      <c r="Q40" s="19">
        <f>+Q20-Q30</f>
        <v>2537671.3764640819</v>
      </c>
      <c r="R40" s="19">
        <f t="shared" si="9"/>
        <v>2652244.2020242037</v>
      </c>
      <c r="S40" s="1"/>
      <c r="T40" s="1"/>
      <c r="U40" s="313"/>
      <c r="V40" s="321"/>
      <c r="W40" s="319"/>
      <c r="X40" s="317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</row>
    <row r="41" spans="1:71">
      <c r="A41" s="9">
        <f t="shared" si="1"/>
        <v>27</v>
      </c>
      <c r="B41" s="3"/>
      <c r="C41" s="97" t="str">
        <f>+C31</f>
        <v xml:space="preserve">  Common</v>
      </c>
      <c r="D41" s="1" t="str">
        <f t="shared" si="5"/>
        <v>(line 7 - line 17)</v>
      </c>
      <c r="E41" s="19">
        <f t="shared" si="6"/>
        <v>0</v>
      </c>
      <c r="F41" s="19">
        <f t="shared" si="8"/>
        <v>0</v>
      </c>
      <c r="G41" s="19">
        <f t="shared" si="8"/>
        <v>0</v>
      </c>
      <c r="H41" s="19">
        <f t="shared" si="8"/>
        <v>0</v>
      </c>
      <c r="I41" s="19">
        <f t="shared" si="8"/>
        <v>0</v>
      </c>
      <c r="J41" s="19">
        <f t="shared" si="8"/>
        <v>0</v>
      </c>
      <c r="K41" s="19">
        <f t="shared" si="8"/>
        <v>0</v>
      </c>
      <c r="L41" s="19">
        <f t="shared" si="8"/>
        <v>0</v>
      </c>
      <c r="M41" s="19">
        <f t="shared" si="8"/>
        <v>0</v>
      </c>
      <c r="N41" s="19">
        <f t="shared" si="8"/>
        <v>0</v>
      </c>
      <c r="O41" s="19">
        <f t="shared" si="8"/>
        <v>0</v>
      </c>
      <c r="P41" s="19">
        <f t="shared" si="8"/>
        <v>0</v>
      </c>
      <c r="Q41" s="19">
        <f t="shared" si="8"/>
        <v>0</v>
      </c>
      <c r="R41" s="47">
        <f t="shared" si="9"/>
        <v>0</v>
      </c>
      <c r="S41" s="1"/>
      <c r="T41" s="1"/>
      <c r="U41" s="313"/>
      <c r="V41" s="322">
        <v>424805922.41624087</v>
      </c>
      <c r="W41" s="319">
        <v>0.99999999999999989</v>
      </c>
      <c r="X41" s="323">
        <v>247268.99999999997</v>
      </c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</row>
    <row r="42" spans="1:71">
      <c r="A42" s="9">
        <f t="shared" si="1"/>
        <v>28</v>
      </c>
      <c r="B42" s="3"/>
      <c r="C42" s="97" t="s">
        <v>6</v>
      </c>
      <c r="D42" s="1" t="str">
        <f>"(sum lines "&amp;A35&amp;" - "&amp;A41&amp;")"</f>
        <v>(sum lines 21 - 27)</v>
      </c>
      <c r="E42" s="49">
        <f>SUM(E35:E41)</f>
        <v>838331310.8520633</v>
      </c>
      <c r="F42" s="49">
        <f t="shared" ref="F42:Q42" si="10">SUM(F35:F41)</f>
        <v>840090001.22772193</v>
      </c>
      <c r="G42" s="49">
        <f t="shared" si="10"/>
        <v>844809027.76933491</v>
      </c>
      <c r="H42" s="49">
        <f t="shared" si="10"/>
        <v>846537654.26663375</v>
      </c>
      <c r="I42" s="49">
        <f t="shared" si="10"/>
        <v>844510135.65772295</v>
      </c>
      <c r="J42" s="49">
        <f t="shared" si="10"/>
        <v>844508328.48770201</v>
      </c>
      <c r="K42" s="49">
        <f t="shared" si="10"/>
        <v>847116292.22748041</v>
      </c>
      <c r="L42" s="49">
        <f t="shared" si="10"/>
        <v>854452336.72400188</v>
      </c>
      <c r="M42" s="49">
        <f t="shared" si="10"/>
        <v>853679177.44404209</v>
      </c>
      <c r="N42" s="49">
        <f t="shared" si="10"/>
        <v>882676409.49880505</v>
      </c>
      <c r="O42" s="49">
        <f t="shared" si="10"/>
        <v>886468777.15842032</v>
      </c>
      <c r="P42" s="49">
        <f t="shared" si="10"/>
        <v>897042006.40207994</v>
      </c>
      <c r="Q42" s="49">
        <f t="shared" si="10"/>
        <v>910100316.42496872</v>
      </c>
      <c r="R42" s="49">
        <f>SUM(R35:R41)</f>
        <v>860793982.62622893</v>
      </c>
      <c r="S42" s="1"/>
      <c r="T42" s="1"/>
      <c r="U42" s="313"/>
      <c r="V42" s="313"/>
      <c r="W42" s="313"/>
      <c r="X42" s="313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</row>
    <row r="43" spans="1:71">
      <c r="A43" s="9"/>
      <c r="B43" s="3"/>
      <c r="C43" s="97"/>
      <c r="D43" s="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"/>
      <c r="T43" s="1"/>
      <c r="U43" s="313"/>
      <c r="V43" s="313"/>
      <c r="W43" s="313"/>
      <c r="X43" s="313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</row>
    <row r="44" spans="1:71">
      <c r="A44" s="9"/>
      <c r="B44" s="3"/>
      <c r="C44" s="97" t="s">
        <v>413</v>
      </c>
      <c r="D44" s="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"/>
      <c r="T44" s="1"/>
      <c r="U44" s="313"/>
      <c r="V44" s="313"/>
      <c r="W44" s="313"/>
      <c r="X44" s="313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</row>
    <row r="45" spans="1:71" ht="18">
      <c r="A45" s="9"/>
      <c r="B45" s="3"/>
      <c r="C45" s="96" t="s">
        <v>414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13"/>
      <c r="V45" s="313"/>
      <c r="W45" s="313"/>
      <c r="X45" s="313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</row>
    <row r="46" spans="1:71">
      <c r="A46" s="9"/>
      <c r="B46" s="3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1"/>
      <c r="U46" s="313"/>
      <c r="V46" s="316">
        <v>43497</v>
      </c>
      <c r="W46" s="313"/>
      <c r="X46" s="317">
        <v>362193</v>
      </c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</row>
    <row r="47" spans="1:71" ht="23.25">
      <c r="A47" s="9"/>
      <c r="B47" s="3"/>
      <c r="C47" s="97"/>
      <c r="D47" s="1"/>
      <c r="E47" s="72" t="s">
        <v>453</v>
      </c>
      <c r="F47" s="1"/>
      <c r="G47" s="1"/>
      <c r="H47" s="92"/>
      <c r="I47" s="97"/>
      <c r="J47" s="1"/>
      <c r="S47" s="1"/>
      <c r="T47" s="1"/>
      <c r="U47" s="313" t="s">
        <v>479</v>
      </c>
      <c r="V47" s="318">
        <v>205136543.97999996</v>
      </c>
      <c r="W47" s="319">
        <v>0.48021264441302047</v>
      </c>
      <c r="X47" s="323">
        <v>173929.65831788513</v>
      </c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</row>
    <row r="48" spans="1:71">
      <c r="A48" s="9">
        <f>+A42+1</f>
        <v>29</v>
      </c>
      <c r="B48" s="3"/>
      <c r="C48" s="3"/>
      <c r="D48" s="1"/>
      <c r="E48" s="73" t="s">
        <v>26</v>
      </c>
      <c r="F48" s="73" t="s">
        <v>27</v>
      </c>
      <c r="G48" s="73" t="s">
        <v>28</v>
      </c>
      <c r="H48" s="73"/>
      <c r="I48" s="3"/>
      <c r="J48" s="1"/>
      <c r="S48" s="93"/>
      <c r="T48" s="93"/>
      <c r="U48" s="324" t="s">
        <v>207</v>
      </c>
      <c r="V48" s="318">
        <v>49947008.150720499</v>
      </c>
      <c r="W48" s="319">
        <v>0.11692302307147498</v>
      </c>
      <c r="X48" s="323">
        <v>42348.700495326739</v>
      </c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</row>
    <row r="49" spans="1:64">
      <c r="A49" s="9">
        <f t="shared" si="1"/>
        <v>30</v>
      </c>
      <c r="B49" s="3"/>
      <c r="C49" s="96" t="s">
        <v>409</v>
      </c>
      <c r="D49" s="1"/>
      <c r="E49" s="74">
        <v>43435</v>
      </c>
      <c r="F49" s="74">
        <v>43800</v>
      </c>
      <c r="G49" s="1" t="s">
        <v>40</v>
      </c>
      <c r="H49" s="74"/>
      <c r="I49" s="96"/>
      <c r="J49" s="1"/>
      <c r="K49" s="347" t="s">
        <v>461</v>
      </c>
      <c r="L49" s="348"/>
      <c r="M49" s="348"/>
      <c r="N49" s="282"/>
      <c r="O49" s="282"/>
      <c r="S49" s="93"/>
      <c r="T49" s="93"/>
      <c r="U49" s="313" t="s">
        <v>480</v>
      </c>
      <c r="V49" s="318">
        <v>143253257.71000001</v>
      </c>
      <c r="W49" s="319">
        <v>0.33534749280170179</v>
      </c>
      <c r="X49" s="323">
        <v>121460.51446032677</v>
      </c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</row>
    <row r="50" spans="1:64">
      <c r="A50" s="9">
        <f t="shared" si="1"/>
        <v>31</v>
      </c>
      <c r="B50" s="3"/>
      <c r="C50" s="97" t="s">
        <v>269</v>
      </c>
      <c r="D50" s="1" t="s">
        <v>401</v>
      </c>
      <c r="E50" s="19">
        <v>0</v>
      </c>
      <c r="F50" s="19">
        <v>0</v>
      </c>
      <c r="G50" s="19">
        <f t="shared" ref="G50:G55" si="11">(+E50+F50)/2</f>
        <v>0</v>
      </c>
      <c r="H50" s="19"/>
      <c r="I50" s="97"/>
      <c r="J50" s="1"/>
      <c r="K50" s="283" t="s">
        <v>217</v>
      </c>
      <c r="L50" s="284" t="s">
        <v>102</v>
      </c>
      <c r="M50" s="284" t="s">
        <v>207</v>
      </c>
      <c r="N50" s="283" t="s">
        <v>462</v>
      </c>
      <c r="O50" s="283" t="s">
        <v>463</v>
      </c>
      <c r="S50" s="93"/>
      <c r="T50" s="93"/>
      <c r="U50" s="313" t="s">
        <v>481</v>
      </c>
      <c r="V50" s="318">
        <v>28841746.089944437</v>
      </c>
      <c r="W50" s="319">
        <v>6.7516839713802776E-2</v>
      </c>
      <c r="X50" s="323">
        <v>24454.126726461367</v>
      </c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</row>
    <row r="51" spans="1:64">
      <c r="A51" s="9">
        <f t="shared" si="1"/>
        <v>32</v>
      </c>
      <c r="B51" s="3"/>
      <c r="C51" s="97" t="s">
        <v>270</v>
      </c>
      <c r="D51" s="1" t="s">
        <v>402</v>
      </c>
      <c r="E51" s="19">
        <f>-122562026+N51</f>
        <v>-124694386.48471004</v>
      </c>
      <c r="F51" s="19">
        <f>-134703790+N63+Y28</f>
        <v>-136998555.74427965</v>
      </c>
      <c r="G51" s="19">
        <f t="shared" si="11"/>
        <v>-130846471.11449485</v>
      </c>
      <c r="H51" s="1"/>
      <c r="I51" s="97"/>
      <c r="J51" s="285">
        <v>43435</v>
      </c>
      <c r="K51" s="290">
        <v>7294155.7585217468</v>
      </c>
      <c r="L51" s="290">
        <v>1399952.956316001</v>
      </c>
      <c r="M51" s="290">
        <v>1459988.8314004987</v>
      </c>
      <c r="N51" s="291">
        <v>-2132360.4847100317</v>
      </c>
      <c r="O51" s="291">
        <v>-1280224.4467619362</v>
      </c>
      <c r="S51" s="93"/>
      <c r="T51" s="93"/>
      <c r="U51" s="313"/>
      <c r="V51" s="318"/>
      <c r="W51" s="313"/>
      <c r="X51" s="32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</row>
    <row r="52" spans="1:64">
      <c r="A52" s="9">
        <f>+A51+1</f>
        <v>33</v>
      </c>
      <c r="B52" s="3"/>
      <c r="C52" s="97" t="s">
        <v>271</v>
      </c>
      <c r="D52" s="1" t="s">
        <v>403</v>
      </c>
      <c r="E52" s="47">
        <v>-18552793</v>
      </c>
      <c r="F52" s="47">
        <v>-15736812</v>
      </c>
      <c r="G52" s="19">
        <f t="shared" si="11"/>
        <v>-17144802.5</v>
      </c>
      <c r="H52" s="1"/>
      <c r="I52" s="97"/>
      <c r="J52" s="286">
        <v>43466</v>
      </c>
      <c r="K52" s="290">
        <v>7364531.6478402466</v>
      </c>
      <c r="L52" s="290">
        <v>1411240.1560375011</v>
      </c>
      <c r="M52" s="290">
        <v>1470428.4469184987</v>
      </c>
      <c r="N52" s="291">
        <v>-2151702.0526672117</v>
      </c>
      <c r="O52" s="291">
        <v>-1280224.4467619362</v>
      </c>
      <c r="S52" s="93"/>
      <c r="T52" s="93"/>
      <c r="U52" s="313"/>
      <c r="V52" s="321"/>
      <c r="W52" s="313"/>
      <c r="X52" s="317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64">
      <c r="A53" s="9">
        <f>+A52+1</f>
        <v>34</v>
      </c>
      <c r="B53" s="3"/>
      <c r="C53" s="97" t="s">
        <v>273</v>
      </c>
      <c r="D53" s="1" t="s">
        <v>404</v>
      </c>
      <c r="E53" s="47">
        <v>30263670</v>
      </c>
      <c r="F53" s="47">
        <v>34673387</v>
      </c>
      <c r="G53" s="19">
        <f t="shared" si="11"/>
        <v>32468528.5</v>
      </c>
      <c r="H53" s="1"/>
      <c r="I53" s="97"/>
      <c r="J53" s="286">
        <v>43497</v>
      </c>
      <c r="K53" s="290">
        <v>7435007.5039484128</v>
      </c>
      <c r="L53" s="290">
        <v>1422527.3557590011</v>
      </c>
      <c r="M53" s="290">
        <v>1480857.4807204988</v>
      </c>
      <c r="N53" s="291">
        <v>-2171062.3914898615</v>
      </c>
      <c r="O53" s="291">
        <v>-1280224.4467619362</v>
      </c>
      <c r="S53" s="93"/>
      <c r="T53" s="93"/>
      <c r="U53" s="313"/>
      <c r="V53" s="322">
        <v>427178555.9306649</v>
      </c>
      <c r="W53" s="319">
        <v>0.99999999999999989</v>
      </c>
      <c r="X53" s="323">
        <v>362193</v>
      </c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</row>
    <row r="54" spans="1:64">
      <c r="A54" s="9">
        <f>+A53+1</f>
        <v>35</v>
      </c>
      <c r="B54" s="3"/>
      <c r="C54" s="3" t="s">
        <v>272</v>
      </c>
      <c r="D54" s="1" t="s">
        <v>448</v>
      </c>
      <c r="E54" s="47">
        <v>0</v>
      </c>
      <c r="F54" s="47">
        <v>0</v>
      </c>
      <c r="G54" s="19">
        <f t="shared" si="11"/>
        <v>0</v>
      </c>
      <c r="H54" s="1"/>
      <c r="I54" s="1"/>
      <c r="J54" s="286">
        <v>43525</v>
      </c>
      <c r="K54" s="292">
        <v>7510524.3108122461</v>
      </c>
      <c r="L54" s="292">
        <v>1433814.5554805011</v>
      </c>
      <c r="M54" s="290">
        <v>1491262.6012484988</v>
      </c>
      <c r="N54" s="291">
        <v>-2191476.3081836617</v>
      </c>
      <c r="O54" s="291">
        <v>-1280224.4467619362</v>
      </c>
      <c r="S54" s="93"/>
      <c r="T54" s="93"/>
      <c r="U54" s="313"/>
      <c r="V54" s="313"/>
      <c r="W54" s="313"/>
      <c r="X54" s="31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</row>
    <row r="55" spans="1:64">
      <c r="A55" s="9">
        <f t="shared" si="1"/>
        <v>36</v>
      </c>
      <c r="B55" s="3"/>
      <c r="C55" s="97" t="s">
        <v>292</v>
      </c>
      <c r="D55" s="3" t="s">
        <v>449</v>
      </c>
      <c r="E55" s="289">
        <f>-96693540+O51</f>
        <v>-97973764.446761936</v>
      </c>
      <c r="F55" s="289">
        <f>-98710271.79+O63</f>
        <v>-99990496.236761943</v>
      </c>
      <c r="G55" s="289">
        <f t="shared" si="11"/>
        <v>-98982130.341761947</v>
      </c>
      <c r="H55" s="97"/>
      <c r="J55" s="286">
        <v>43556</v>
      </c>
      <c r="K55" s="293">
        <v>7586765.168482163</v>
      </c>
      <c r="L55" s="293">
        <v>1445104.1240635845</v>
      </c>
      <c r="M55" s="290">
        <v>1501660.2218189987</v>
      </c>
      <c r="N55" s="291">
        <v>-2212041.1980165965</v>
      </c>
      <c r="O55" s="291">
        <v>-1280224.4467619362</v>
      </c>
      <c r="S55" s="93"/>
      <c r="T55" s="93"/>
      <c r="U55" s="313"/>
      <c r="V55" s="313"/>
      <c r="W55" s="313"/>
      <c r="X55" s="31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</row>
    <row r="56" spans="1:64">
      <c r="A56" s="9">
        <f t="shared" si="1"/>
        <v>37</v>
      </c>
      <c r="B56" s="3"/>
      <c r="C56" s="97" t="s">
        <v>8</v>
      </c>
      <c r="D56" s="1" t="str">
        <f>"(sum lines "&amp;A50&amp;" - "&amp;A55&amp;")"</f>
        <v>(sum lines 31 - 36)</v>
      </c>
      <c r="E56" s="19">
        <f>SUM(E50:E55)</f>
        <v>-210957273.93147197</v>
      </c>
      <c r="F56" s="19">
        <f>SUM(F50:F55)</f>
        <v>-218052476.98104161</v>
      </c>
      <c r="G56" s="19">
        <f>SUM(G50:G55)</f>
        <v>-214504875.45625681</v>
      </c>
      <c r="H56" s="1"/>
      <c r="I56" s="1"/>
      <c r="J56" s="286">
        <v>43586</v>
      </c>
      <c r="K56" s="290">
        <v>7663455.8887863299</v>
      </c>
      <c r="L56" s="290">
        <v>1456393.6926466678</v>
      </c>
      <c r="M56" s="290">
        <v>1512029.4651454985</v>
      </c>
      <c r="N56" s="291">
        <v>-2232694.5997814843</v>
      </c>
      <c r="O56" s="291">
        <v>-1280224.4467619362</v>
      </c>
      <c r="S56" s="93"/>
      <c r="T56" s="93"/>
      <c r="U56" s="313"/>
      <c r="V56" s="313"/>
      <c r="W56" s="313"/>
      <c r="X56" s="31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</row>
    <row r="57" spans="1:64">
      <c r="A57" s="9">
        <f t="shared" si="1"/>
        <v>38</v>
      </c>
      <c r="B57" s="3"/>
      <c r="C57" s="3"/>
      <c r="D57" s="1"/>
      <c r="E57" s="19"/>
      <c r="F57" s="19"/>
      <c r="G57" s="19"/>
      <c r="H57" s="1"/>
      <c r="I57" s="1"/>
      <c r="J57" s="286">
        <v>43617</v>
      </c>
      <c r="K57" s="290">
        <v>7740772.8267519968</v>
      </c>
      <c r="L57" s="290">
        <v>1467610.5583530846</v>
      </c>
      <c r="M57" s="290">
        <v>1522385.0343284984</v>
      </c>
      <c r="N57" s="291">
        <v>-2253461.3680810514</v>
      </c>
      <c r="O57" s="294">
        <v>-1280224.4467619362</v>
      </c>
      <c r="P57" s="93"/>
      <c r="Q57" s="93"/>
      <c r="R57" s="93"/>
      <c r="S57" s="93"/>
      <c r="T57" s="93"/>
      <c r="U57" s="313"/>
      <c r="V57" s="316">
        <v>43525</v>
      </c>
      <c r="W57" s="313"/>
      <c r="X57" s="317">
        <v>415054</v>
      </c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</row>
    <row r="58" spans="1:64">
      <c r="A58" s="9">
        <f t="shared" si="1"/>
        <v>39</v>
      </c>
      <c r="B58" s="3"/>
      <c r="C58" s="96" t="s">
        <v>230</v>
      </c>
      <c r="D58" s="1" t="s">
        <v>299</v>
      </c>
      <c r="E58" s="19"/>
      <c r="G58" s="19">
        <f>(+E58+F58)/2</f>
        <v>0</v>
      </c>
      <c r="H58" s="1"/>
      <c r="I58" s="1"/>
      <c r="J58" s="286">
        <v>43647</v>
      </c>
      <c r="K58" s="290">
        <v>7818144.8390742466</v>
      </c>
      <c r="L58" s="290">
        <v>1478827.4240595014</v>
      </c>
      <c r="M58" s="290">
        <v>1532736.0839749984</v>
      </c>
      <c r="N58" s="291">
        <v>-2274238.7528928365</v>
      </c>
      <c r="O58" s="294">
        <v>-1280224.4467619362</v>
      </c>
      <c r="P58" s="93"/>
      <c r="Q58" s="93"/>
      <c r="R58" s="93"/>
      <c r="S58" s="93"/>
      <c r="T58" s="93"/>
      <c r="U58" s="313" t="s">
        <v>479</v>
      </c>
      <c r="V58" s="318">
        <v>206513181.17000005</v>
      </c>
      <c r="W58" s="319">
        <v>0.48036571451117632</v>
      </c>
      <c r="X58" s="323">
        <v>199377.71127072177</v>
      </c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</row>
    <row r="59" spans="1:64">
      <c r="A59" s="9">
        <f t="shared" si="1"/>
        <v>40</v>
      </c>
      <c r="B59" s="3"/>
      <c r="C59" s="97"/>
      <c r="D59" s="1"/>
      <c r="E59" s="19"/>
      <c r="G59" s="19"/>
      <c r="H59" s="1"/>
      <c r="I59" s="1"/>
      <c r="J59" s="286">
        <v>43678</v>
      </c>
      <c r="K59" s="290">
        <v>7895740.5919161635</v>
      </c>
      <c r="L59" s="290">
        <v>1490044.2897659182</v>
      </c>
      <c r="M59" s="290">
        <v>1543084.9477059983</v>
      </c>
      <c r="N59" s="291">
        <v>-2295062.6641714969</v>
      </c>
      <c r="O59" s="294">
        <v>-1280224.4467619362</v>
      </c>
      <c r="P59" s="93"/>
      <c r="Q59" s="93"/>
      <c r="R59" s="93"/>
      <c r="S59" s="93"/>
      <c r="T59" s="93"/>
      <c r="U59" s="324" t="s">
        <v>207</v>
      </c>
      <c r="V59" s="318">
        <v>50327650.171248496</v>
      </c>
      <c r="W59" s="319">
        <v>0.11706602695872996</v>
      </c>
      <c r="X59" s="323">
        <v>48588.722753328708</v>
      </c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</row>
    <row r="60" spans="1:64">
      <c r="A60" s="9">
        <f t="shared" si="1"/>
        <v>41</v>
      </c>
      <c r="B60" s="3"/>
      <c r="C60" s="97" t="s">
        <v>415</v>
      </c>
      <c r="D60" s="1"/>
      <c r="E60" s="19"/>
      <c r="F60" s="19"/>
      <c r="G60" s="19"/>
      <c r="H60" s="1"/>
      <c r="I60" s="1"/>
      <c r="J60" s="286">
        <v>43709</v>
      </c>
      <c r="K60" s="290">
        <v>7970880.5691181635</v>
      </c>
      <c r="L60" s="290">
        <v>1500879.6182016681</v>
      </c>
      <c r="M60" s="290">
        <v>1554698.3584384983</v>
      </c>
      <c r="N60" s="291">
        <v>-2315556.2946092491</v>
      </c>
      <c r="O60" s="294">
        <v>-1280224.4467619362</v>
      </c>
      <c r="P60" s="93"/>
      <c r="Q60" s="93"/>
      <c r="R60" s="93"/>
      <c r="S60" s="93"/>
      <c r="T60" s="93"/>
      <c r="U60" s="313" t="s">
        <v>480</v>
      </c>
      <c r="V60" s="318">
        <v>143988873.09999999</v>
      </c>
      <c r="W60" s="319">
        <v>0.33492931306599066</v>
      </c>
      <c r="X60" s="323">
        <v>139013.75110529168</v>
      </c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</row>
    <row r="61" spans="1:64">
      <c r="A61" s="9">
        <f t="shared" si="1"/>
        <v>42</v>
      </c>
      <c r="B61" s="3"/>
      <c r="C61" s="97"/>
      <c r="D61" s="3"/>
      <c r="E61" s="19"/>
      <c r="F61" s="19"/>
      <c r="G61" s="19"/>
      <c r="H61" s="1"/>
      <c r="I61" s="1"/>
      <c r="J61" s="286">
        <v>43739</v>
      </c>
      <c r="K61" s="290">
        <v>8050400.3734480804</v>
      </c>
      <c r="L61" s="292">
        <v>1511714.9466374181</v>
      </c>
      <c r="M61" s="290">
        <v>1566294.8452644984</v>
      </c>
      <c r="N61" s="291">
        <v>-2336966.1347234994</v>
      </c>
      <c r="O61" s="294">
        <v>-1280224.4467619362</v>
      </c>
      <c r="P61" s="93"/>
      <c r="Q61" s="93"/>
      <c r="R61" s="93"/>
      <c r="S61" s="93"/>
      <c r="T61" s="93"/>
      <c r="U61" s="313" t="s">
        <v>481</v>
      </c>
      <c r="V61" s="318">
        <v>29078540.322117597</v>
      </c>
      <c r="W61" s="319">
        <v>6.7638945464103081E-2</v>
      </c>
      <c r="X61" s="323">
        <v>28073.814870657839</v>
      </c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</row>
    <row r="62" spans="1:64">
      <c r="A62" s="9">
        <f t="shared" si="1"/>
        <v>43</v>
      </c>
      <c r="B62" s="3"/>
      <c r="C62" s="97" t="s">
        <v>358</v>
      </c>
      <c r="D62" s="1" t="s">
        <v>134</v>
      </c>
      <c r="E62" s="47">
        <v>4426257</v>
      </c>
      <c r="F62" s="47">
        <v>5361285</v>
      </c>
      <c r="G62" s="19">
        <f>(+E62+F62)/2</f>
        <v>4893771</v>
      </c>
      <c r="H62" s="1"/>
      <c r="I62" s="1"/>
      <c r="J62" s="286">
        <v>43770</v>
      </c>
      <c r="K62" s="290">
        <v>8129674.24124383</v>
      </c>
      <c r="L62" s="292">
        <v>1522891.7228285847</v>
      </c>
      <c r="M62" s="290">
        <v>1578033.3993539985</v>
      </c>
      <c r="N62" s="291">
        <v>-2358425.8663195465</v>
      </c>
      <c r="O62" s="294">
        <v>-1280224.4467619362</v>
      </c>
      <c r="P62" s="93"/>
      <c r="Q62" s="93"/>
      <c r="R62" s="93"/>
      <c r="S62" s="93"/>
      <c r="T62" s="93"/>
      <c r="U62" s="313"/>
      <c r="V62" s="318"/>
      <c r="W62" s="313"/>
      <c r="X62" s="32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</row>
    <row r="63" spans="1:64">
      <c r="A63" s="9">
        <f t="shared" si="1"/>
        <v>44</v>
      </c>
      <c r="B63" s="3"/>
      <c r="C63" s="97" t="s">
        <v>358</v>
      </c>
      <c r="D63" s="1" t="s">
        <v>133</v>
      </c>
      <c r="E63" s="47">
        <v>13114</v>
      </c>
      <c r="F63" s="47">
        <v>27318</v>
      </c>
      <c r="G63" s="19">
        <f>(+E63+F63)/2</f>
        <v>20216</v>
      </c>
      <c r="H63" s="1"/>
      <c r="I63" s="1"/>
      <c r="J63" s="286">
        <v>43800</v>
      </c>
      <c r="K63" s="295">
        <v>8210964.2157948297</v>
      </c>
      <c r="L63" s="296">
        <v>1534068.7335359179</v>
      </c>
      <c r="M63" s="295">
        <v>1589790.1909509983</v>
      </c>
      <c r="N63" s="291">
        <v>-2380312.8594591664</v>
      </c>
      <c r="O63" s="294">
        <v>-1280224.4467619362</v>
      </c>
      <c r="P63" s="93"/>
      <c r="Q63" s="93"/>
      <c r="R63" s="93"/>
      <c r="S63" s="93"/>
      <c r="T63" s="93"/>
      <c r="U63" s="313"/>
      <c r="V63" s="321"/>
      <c r="W63" s="313"/>
      <c r="X63" s="317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</row>
    <row r="64" spans="1:64">
      <c r="A64" s="9">
        <f t="shared" si="1"/>
        <v>45</v>
      </c>
      <c r="B64" s="3"/>
      <c r="C64" s="97" t="s">
        <v>274</v>
      </c>
      <c r="D64" s="1" t="s">
        <v>74</v>
      </c>
      <c r="E64" s="47">
        <v>3149219</v>
      </c>
      <c r="F64" s="47">
        <v>3160241</v>
      </c>
      <c r="G64" s="19">
        <f>(+E64+F64)/2</f>
        <v>3154730</v>
      </c>
      <c r="H64" s="1"/>
      <c r="I64" s="1"/>
      <c r="J64" s="334" t="s">
        <v>482</v>
      </c>
      <c r="K64" s="1"/>
      <c r="L64" s="186"/>
      <c r="O64" s="93"/>
      <c r="P64" s="93"/>
      <c r="Q64" s="93"/>
      <c r="R64" s="93"/>
      <c r="S64" s="93"/>
      <c r="T64" s="93"/>
      <c r="U64" s="313"/>
      <c r="V64" s="322">
        <v>429908244.7633661</v>
      </c>
      <c r="W64" s="319">
        <v>1</v>
      </c>
      <c r="X64" s="323">
        <v>415054</v>
      </c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</row>
    <row r="65" spans="1:64">
      <c r="A65" s="9">
        <f t="shared" si="1"/>
        <v>46</v>
      </c>
      <c r="B65" s="3"/>
      <c r="C65" s="97" t="s">
        <v>9</v>
      </c>
      <c r="D65" s="1" t="str">
        <f>"(sum lines "&amp;A61&amp;" - "&amp;A64&amp;")"</f>
        <v>(sum lines 42 - 45)</v>
      </c>
      <c r="E65" s="49">
        <f>SUM(E62:E64)</f>
        <v>7588590</v>
      </c>
      <c r="F65" s="49">
        <f>SUM(F62:F64)</f>
        <v>8548844</v>
      </c>
      <c r="G65" s="49">
        <f>SUM(G62:G64)</f>
        <v>8068717</v>
      </c>
      <c r="H65" s="75"/>
      <c r="I65" s="75"/>
      <c r="J65" s="75"/>
      <c r="K65" s="75"/>
      <c r="L65" s="188"/>
      <c r="O65" s="93"/>
      <c r="P65" s="93"/>
      <c r="Q65" s="93"/>
      <c r="R65" s="93"/>
      <c r="S65" s="93"/>
      <c r="T65" s="93"/>
      <c r="U65" s="313"/>
      <c r="V65" s="313"/>
      <c r="W65" s="313"/>
      <c r="X65" s="31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</row>
    <row r="66" spans="1:64">
      <c r="U66" s="313"/>
      <c r="V66" s="313"/>
      <c r="W66" s="313"/>
      <c r="X66" s="313"/>
    </row>
    <row r="67" spans="1:64">
      <c r="U67" s="313"/>
      <c r="V67" s="313"/>
      <c r="W67" s="313"/>
      <c r="X67" s="313"/>
    </row>
    <row r="68" spans="1:64">
      <c r="F68"/>
      <c r="U68" s="313"/>
      <c r="V68" s="316">
        <v>43556</v>
      </c>
      <c r="W68" s="313"/>
      <c r="X68" s="317">
        <v>-634035</v>
      </c>
    </row>
    <row r="69" spans="1:64">
      <c r="U69" s="313" t="s">
        <v>479</v>
      </c>
      <c r="V69" s="318">
        <v>207768595.31000003</v>
      </c>
      <c r="W69" s="319">
        <v>0.48038824552334625</v>
      </c>
      <c r="X69" s="323">
        <v>-304582.96125039482</v>
      </c>
    </row>
    <row r="70" spans="1:64">
      <c r="F70"/>
      <c r="U70" s="324" t="s">
        <v>207</v>
      </c>
      <c r="V70" s="318">
        <v>50702447.021818995</v>
      </c>
      <c r="W70" s="319">
        <v>0.11723070819346165</v>
      </c>
      <c r="X70" s="323">
        <v>-74328.372069441466</v>
      </c>
    </row>
    <row r="71" spans="1:64">
      <c r="F71"/>
      <c r="U71" s="313" t="s">
        <v>480</v>
      </c>
      <c r="V71" s="318">
        <v>144711487.92000002</v>
      </c>
      <c r="W71" s="319">
        <v>0.33459194198833664</v>
      </c>
      <c r="X71" s="323">
        <v>-212143.00193857503</v>
      </c>
    </row>
    <row r="72" spans="1:64">
      <c r="U72" s="313" t="s">
        <v>481</v>
      </c>
      <c r="V72" s="318">
        <v>29318883.440458234</v>
      </c>
      <c r="W72" s="319">
        <v>6.7789104294855518E-2</v>
      </c>
      <c r="X72" s="323">
        <v>-42980.66474158872</v>
      </c>
    </row>
    <row r="73" spans="1:64">
      <c r="U73" s="313"/>
      <c r="V73" s="318"/>
      <c r="W73" s="313"/>
      <c r="X73" s="323"/>
    </row>
    <row r="74" spans="1:64">
      <c r="U74" s="313"/>
      <c r="V74" s="321"/>
      <c r="W74" s="313"/>
      <c r="X74" s="317"/>
    </row>
    <row r="75" spans="1:64">
      <c r="U75" s="313"/>
      <c r="V75" s="322">
        <v>432501413.69227725</v>
      </c>
      <c r="W75" s="319">
        <v>1</v>
      </c>
      <c r="X75" s="323">
        <v>-634035.00000000012</v>
      </c>
    </row>
    <row r="76" spans="1:64">
      <c r="U76" s="313"/>
      <c r="V76" s="313"/>
      <c r="W76" s="313"/>
      <c r="X76" s="313"/>
    </row>
    <row r="77" spans="1:64">
      <c r="U77" s="313"/>
      <c r="V77" s="313"/>
      <c r="W77" s="313"/>
      <c r="X77" s="313"/>
    </row>
    <row r="78" spans="1:64">
      <c r="U78" s="313"/>
      <c r="V78" s="313"/>
      <c r="W78" s="313"/>
      <c r="X78" s="313"/>
    </row>
    <row r="79" spans="1:64">
      <c r="U79" s="313"/>
      <c r="V79" s="316">
        <v>43586</v>
      </c>
      <c r="W79" s="313"/>
      <c r="X79" s="317">
        <v>-816281</v>
      </c>
    </row>
    <row r="80" spans="1:64">
      <c r="U80" s="313" t="s">
        <v>479</v>
      </c>
      <c r="V80" s="318">
        <v>209106961.90000001</v>
      </c>
      <c r="W80" s="319">
        <v>0.48152493670281893</v>
      </c>
      <c r="X80" s="323">
        <v>-393059.65685671376</v>
      </c>
    </row>
    <row r="81" spans="21:24">
      <c r="U81" s="324" t="s">
        <v>207</v>
      </c>
      <c r="V81" s="318">
        <v>50598836.015145496</v>
      </c>
      <c r="W81" s="319">
        <v>0.11651740854558917</v>
      </c>
      <c r="X81" s="323">
        <v>-95110.946765002082</v>
      </c>
    </row>
    <row r="82" spans="21:24">
      <c r="U82" s="313" t="s">
        <v>480</v>
      </c>
      <c r="V82" s="318">
        <v>145062057.19999999</v>
      </c>
      <c r="W82" s="319">
        <v>0.33404434398800709</v>
      </c>
      <c r="X82" s="323">
        <v>-272674.05115487444</v>
      </c>
    </row>
    <row r="83" spans="21:24">
      <c r="U83" s="313" t="s">
        <v>481</v>
      </c>
      <c r="V83" s="318">
        <v>29492026.277152572</v>
      </c>
      <c r="W83" s="319">
        <v>6.79133107635847E-2</v>
      </c>
      <c r="X83" s="323">
        <v>-55436.345223409684</v>
      </c>
    </row>
    <row r="84" spans="21:24">
      <c r="U84" s="313"/>
      <c r="V84" s="318"/>
      <c r="W84" s="313"/>
      <c r="X84" s="323"/>
    </row>
    <row r="85" spans="21:24">
      <c r="U85" s="313"/>
      <c r="V85" s="321"/>
      <c r="W85" s="313"/>
      <c r="X85" s="317"/>
    </row>
    <row r="86" spans="21:24">
      <c r="U86" s="313"/>
      <c r="V86" s="322">
        <v>434259881.3922981</v>
      </c>
      <c r="W86" s="319">
        <v>0.99999999999999978</v>
      </c>
      <c r="X86" s="323">
        <v>-816281</v>
      </c>
    </row>
    <row r="87" spans="21:24">
      <c r="U87" s="313"/>
      <c r="V87" s="322"/>
      <c r="W87" s="319"/>
      <c r="X87" s="323"/>
    </row>
    <row r="88" spans="21:24">
      <c r="U88" s="313"/>
      <c r="V88" s="322"/>
      <c r="W88" s="319"/>
      <c r="X88" s="323"/>
    </row>
    <row r="89" spans="21:24">
      <c r="U89" s="313"/>
      <c r="V89" s="322"/>
      <c r="W89" s="319"/>
      <c r="X89" s="323"/>
    </row>
    <row r="90" spans="21:24">
      <c r="U90" s="313"/>
      <c r="V90" s="316">
        <v>43617</v>
      </c>
      <c r="W90" s="313"/>
      <c r="X90" s="317">
        <v>-811355</v>
      </c>
    </row>
    <row r="91" spans="21:24">
      <c r="U91" s="313" t="s">
        <v>479</v>
      </c>
      <c r="V91" s="318">
        <v>210140218.83000004</v>
      </c>
      <c r="W91" s="319">
        <v>0.48205051648110631</v>
      </c>
      <c r="X91" s="323">
        <v>-391114.09679952799</v>
      </c>
    </row>
    <row r="92" spans="21:24">
      <c r="U92" s="324" t="s">
        <v>207</v>
      </c>
      <c r="V92" s="318">
        <v>50717839.0943285</v>
      </c>
      <c r="W92" s="319">
        <v>0.11634403288599018</v>
      </c>
      <c r="X92" s="323">
        <v>-94396.31280221256</v>
      </c>
    </row>
    <row r="93" spans="21:24">
      <c r="U93" s="313" t="s">
        <v>480</v>
      </c>
      <c r="V93" s="318">
        <v>145668508.23000005</v>
      </c>
      <c r="W93" s="319">
        <v>0.33415583184535602</v>
      </c>
      <c r="X93" s="323">
        <v>-271119.00494688883</v>
      </c>
    </row>
    <row r="94" spans="21:24">
      <c r="U94" s="313" t="s">
        <v>481</v>
      </c>
      <c r="V94" s="318">
        <v>29403303.528191216</v>
      </c>
      <c r="W94" s="319">
        <v>6.7449618787547488E-2</v>
      </c>
      <c r="X94" s="323">
        <v>-54725.585451370593</v>
      </c>
    </row>
    <row r="95" spans="21:24">
      <c r="U95" s="313"/>
      <c r="V95" s="318"/>
      <c r="W95" s="313"/>
      <c r="X95" s="323"/>
    </row>
    <row r="96" spans="21:24">
      <c r="U96" s="313"/>
      <c r="V96" s="321"/>
      <c r="W96" s="313"/>
      <c r="X96" s="317"/>
    </row>
    <row r="97" spans="21:24">
      <c r="U97" s="313"/>
      <c r="V97" s="322">
        <v>435929869.68251979</v>
      </c>
      <c r="W97" s="319">
        <v>1</v>
      </c>
      <c r="X97" s="323">
        <v>-811355</v>
      </c>
    </row>
    <row r="98" spans="21:24">
      <c r="U98" s="313"/>
      <c r="V98" s="313"/>
      <c r="W98" s="313"/>
      <c r="X98" s="313"/>
    </row>
    <row r="99" spans="21:24">
      <c r="U99" s="313"/>
      <c r="V99" s="313"/>
      <c r="W99" s="313"/>
      <c r="X99" s="313"/>
    </row>
    <row r="100" spans="21:24">
      <c r="U100" s="313"/>
      <c r="V100" s="316">
        <v>43647</v>
      </c>
      <c r="W100" s="313"/>
      <c r="X100" s="317">
        <v>267486</v>
      </c>
    </row>
    <row r="101" spans="21:24">
      <c r="U101" s="313" t="s">
        <v>479</v>
      </c>
      <c r="V101" s="318">
        <v>211230456.13000003</v>
      </c>
      <c r="W101" s="319">
        <v>0.4821271910965218</v>
      </c>
      <c r="X101" s="323">
        <v>128962.27383764423</v>
      </c>
    </row>
    <row r="102" spans="21:24">
      <c r="U102" s="324" t="s">
        <v>207</v>
      </c>
      <c r="V102" s="318">
        <v>51096872.013974994</v>
      </c>
      <c r="W102" s="319">
        <v>0.11662708034278312</v>
      </c>
      <c r="X102" s="323">
        <v>31196.111212569685</v>
      </c>
    </row>
    <row r="103" spans="21:24">
      <c r="U103" s="313" t="s">
        <v>480</v>
      </c>
      <c r="V103" s="318">
        <v>146190836.81999999</v>
      </c>
      <c r="W103" s="319">
        <v>0.3336762075479241</v>
      </c>
      <c r="X103" s="323">
        <v>89253.714052164025</v>
      </c>
    </row>
    <row r="104" spans="21:24">
      <c r="U104" s="313" t="s">
        <v>481</v>
      </c>
      <c r="V104" s="318">
        <v>29603683.442023147</v>
      </c>
      <c r="W104" s="319">
        <v>6.7569521012770958E-2</v>
      </c>
      <c r="X104" s="323">
        <v>18073.900897622054</v>
      </c>
    </row>
    <row r="105" spans="21:24">
      <c r="U105" s="313"/>
      <c r="V105" s="318"/>
      <c r="W105" s="313"/>
      <c r="X105" s="323"/>
    </row>
    <row r="106" spans="21:24">
      <c r="U106" s="313"/>
      <c r="V106" s="321"/>
      <c r="W106" s="313"/>
      <c r="X106" s="317"/>
    </row>
    <row r="107" spans="21:24">
      <c r="U107" s="313"/>
      <c r="V107" s="322">
        <v>438121848.40599817</v>
      </c>
      <c r="W107" s="319">
        <v>1</v>
      </c>
      <c r="X107" s="323">
        <v>267486</v>
      </c>
    </row>
    <row r="108" spans="21:24">
      <c r="U108" s="313"/>
      <c r="V108" s="313"/>
      <c r="W108" s="313"/>
      <c r="X108" s="313"/>
    </row>
    <row r="109" spans="21:24">
      <c r="U109" s="313"/>
      <c r="V109" s="313"/>
      <c r="W109" s="313"/>
      <c r="X109" s="313"/>
    </row>
    <row r="110" spans="21:24">
      <c r="U110" s="313"/>
      <c r="V110" s="316">
        <v>43678</v>
      </c>
      <c r="W110" s="313"/>
      <c r="X110" s="317">
        <v>717743</v>
      </c>
    </row>
    <row r="111" spans="21:24">
      <c r="U111" s="313" t="s">
        <v>479</v>
      </c>
      <c r="V111" s="318">
        <v>212173990.36999997</v>
      </c>
      <c r="W111" s="319">
        <v>0.48160069340677925</v>
      </c>
      <c r="X111" s="323">
        <v>345665.52648786193</v>
      </c>
    </row>
    <row r="112" spans="21:24">
      <c r="U112" s="324" t="s">
        <v>207</v>
      </c>
      <c r="V112" s="318">
        <v>51495784.217706002</v>
      </c>
      <c r="W112" s="319">
        <v>0.11688711393665577</v>
      </c>
      <c r="X112" s="323">
        <v>83894.907818237116</v>
      </c>
    </row>
    <row r="113" spans="21:24">
      <c r="U113" s="313" t="s">
        <v>480</v>
      </c>
      <c r="V113" s="318">
        <v>146984341.64000002</v>
      </c>
      <c r="W113" s="319">
        <v>0.3336307184981514</v>
      </c>
      <c r="X113" s="323">
        <v>239461.11278701868</v>
      </c>
    </row>
    <row r="114" spans="21:24">
      <c r="U114" s="313" t="s">
        <v>481</v>
      </c>
      <c r="V114" s="318">
        <v>29905860.688251901</v>
      </c>
      <c r="W114" s="319">
        <v>6.7881474158413641E-2</v>
      </c>
      <c r="X114" s="323">
        <v>48721.452906882281</v>
      </c>
    </row>
    <row r="115" spans="21:24">
      <c r="U115" s="313"/>
      <c r="V115" s="318"/>
      <c r="W115" s="313"/>
      <c r="X115" s="323"/>
    </row>
    <row r="116" spans="21:24">
      <c r="U116" s="313"/>
      <c r="V116" s="321"/>
      <c r="W116" s="313"/>
      <c r="X116" s="317"/>
    </row>
    <row r="117" spans="21:24">
      <c r="U117" s="313"/>
      <c r="V117" s="322">
        <v>440559976.91595787</v>
      </c>
      <c r="W117" s="319">
        <v>1</v>
      </c>
      <c r="X117" s="323">
        <v>717743</v>
      </c>
    </row>
    <row r="118" spans="21:24">
      <c r="U118" s="313"/>
      <c r="V118" s="313"/>
      <c r="W118" s="313"/>
      <c r="X118" s="313"/>
    </row>
    <row r="119" spans="21:24">
      <c r="U119" s="313"/>
      <c r="V119" s="313"/>
      <c r="W119" s="313"/>
      <c r="X119" s="313"/>
    </row>
    <row r="120" spans="21:24">
      <c r="U120" s="313"/>
      <c r="V120" s="316">
        <v>43709</v>
      </c>
      <c r="W120" s="313"/>
      <c r="X120" s="317">
        <v>788761</v>
      </c>
    </row>
    <row r="121" spans="21:24">
      <c r="U121" s="313" t="s">
        <v>479</v>
      </c>
      <c r="V121" s="318">
        <v>213575121.88</v>
      </c>
      <c r="W121" s="319">
        <v>0.48355682605981487</v>
      </c>
      <c r="X121" s="323">
        <v>381410.76567976561</v>
      </c>
    </row>
    <row r="122" spans="21:24">
      <c r="U122" s="324" t="s">
        <v>207</v>
      </c>
      <c r="V122" s="318">
        <v>51921213.618438497</v>
      </c>
      <c r="W122" s="319">
        <v>0.11755515830449753</v>
      </c>
      <c r="X122" s="323">
        <v>92722.924219413777</v>
      </c>
    </row>
    <row r="123" spans="21:24">
      <c r="U123" s="313" t="s">
        <v>480</v>
      </c>
      <c r="V123" s="318">
        <v>147901817.28999999</v>
      </c>
      <c r="W123" s="319">
        <v>0.33486546891643543</v>
      </c>
      <c r="X123" s="323">
        <v>264128.82212799654</v>
      </c>
    </row>
    <row r="124" spans="21:24">
      <c r="U124" s="313" t="s">
        <v>481</v>
      </c>
      <c r="V124" s="318">
        <v>28277179.602756578</v>
      </c>
      <c r="W124" s="319">
        <v>6.4022546719252324E-2</v>
      </c>
      <c r="X124" s="323">
        <v>50498.487972824179</v>
      </c>
    </row>
    <row r="125" spans="21:24">
      <c r="U125" s="313"/>
      <c r="V125" s="318"/>
      <c r="W125" s="313"/>
      <c r="X125" s="323"/>
    </row>
    <row r="126" spans="21:24">
      <c r="U126" s="313"/>
      <c r="V126" s="321"/>
      <c r="W126" s="313"/>
      <c r="X126" s="317"/>
    </row>
    <row r="127" spans="21:24">
      <c r="U127" s="313"/>
      <c r="V127" s="322">
        <v>441675332.391195</v>
      </c>
      <c r="W127" s="319">
        <v>1.0000000000000002</v>
      </c>
      <c r="X127" s="323">
        <v>788761</v>
      </c>
    </row>
    <row r="128" spans="21:24">
      <c r="U128" s="313"/>
      <c r="V128" s="313"/>
      <c r="W128" s="313"/>
      <c r="X128" s="313"/>
    </row>
    <row r="129" spans="21:24">
      <c r="U129" s="313"/>
      <c r="V129" s="313"/>
      <c r="W129" s="313"/>
      <c r="X129" s="313"/>
    </row>
    <row r="130" spans="21:24">
      <c r="U130" s="313"/>
      <c r="V130" s="316">
        <v>43739</v>
      </c>
      <c r="W130" s="313"/>
      <c r="X130" s="317">
        <v>843379</v>
      </c>
    </row>
    <row r="131" spans="21:24">
      <c r="U131" s="313" t="s">
        <v>479</v>
      </c>
      <c r="V131" s="318">
        <v>214979776.53999999</v>
      </c>
      <c r="W131" s="319">
        <v>0.48388114164951884</v>
      </c>
      <c r="X131" s="323">
        <v>408095.19336322957</v>
      </c>
    </row>
    <row r="132" spans="21:24">
      <c r="U132" s="324" t="s">
        <v>207</v>
      </c>
      <c r="V132" s="318">
        <v>52170781.275264502</v>
      </c>
      <c r="W132" s="319">
        <v>0.11742712552092194</v>
      </c>
      <c r="X132" s="323">
        <v>99035.571694709623</v>
      </c>
    </row>
    <row r="133" spans="21:24">
      <c r="U133" s="313" t="s">
        <v>480</v>
      </c>
      <c r="V133" s="318">
        <v>148674429.40000004</v>
      </c>
      <c r="W133" s="319">
        <v>0.33463962885261078</v>
      </c>
      <c r="X133" s="323">
        <v>282228.03554208606</v>
      </c>
    </row>
    <row r="134" spans="21:24">
      <c r="U134" s="313" t="s">
        <v>481</v>
      </c>
      <c r="V134" s="318">
        <v>28457209.456315059</v>
      </c>
      <c r="W134" s="319">
        <v>6.405210397694841E-2</v>
      </c>
      <c r="X134" s="323">
        <v>54020.199399974772</v>
      </c>
    </row>
    <row r="135" spans="21:24">
      <c r="U135" s="313"/>
      <c r="V135" s="318"/>
      <c r="W135" s="313"/>
      <c r="X135" s="323"/>
    </row>
    <row r="136" spans="21:24">
      <c r="U136" s="313"/>
      <c r="V136" s="321"/>
      <c r="W136" s="313"/>
      <c r="X136" s="317"/>
    </row>
    <row r="137" spans="21:24">
      <c r="U137" s="313"/>
      <c r="V137" s="322">
        <v>444282196.6715796</v>
      </c>
      <c r="W137" s="319">
        <v>1</v>
      </c>
      <c r="X137" s="323">
        <v>843379.00000000012</v>
      </c>
    </row>
    <row r="138" spans="21:24">
      <c r="U138" s="313"/>
      <c r="V138" s="313"/>
      <c r="W138" s="313"/>
      <c r="X138" s="313"/>
    </row>
    <row r="139" spans="21:24">
      <c r="U139" s="313"/>
      <c r="V139" s="313"/>
      <c r="W139" s="313"/>
      <c r="X139" s="313"/>
    </row>
    <row r="140" spans="21:24">
      <c r="U140" s="325"/>
      <c r="V140" s="326"/>
      <c r="W140" s="327"/>
      <c r="X140" s="323"/>
    </row>
    <row r="141" spans="21:24">
      <c r="U141" s="313"/>
      <c r="V141" s="316">
        <v>43770</v>
      </c>
      <c r="W141" s="313"/>
      <c r="X141" s="317">
        <v>896626</v>
      </c>
    </row>
    <row r="142" spans="21:24">
      <c r="U142" s="313" t="s">
        <v>479</v>
      </c>
      <c r="V142" s="318">
        <v>216388359.11000004</v>
      </c>
      <c r="W142" s="319">
        <v>0.48408546542002823</v>
      </c>
      <c r="X142" s="323">
        <v>434043.61451769824</v>
      </c>
    </row>
    <row r="143" spans="21:24">
      <c r="U143" s="324" t="s">
        <v>207</v>
      </c>
      <c r="V143" s="318">
        <v>52609431.609353997</v>
      </c>
      <c r="W143" s="319">
        <v>0.11769330517983644</v>
      </c>
      <c r="X143" s="323">
        <v>105526.87745017602</v>
      </c>
    </row>
    <row r="144" spans="21:24">
      <c r="U144" s="313" t="s">
        <v>480</v>
      </c>
      <c r="V144" s="318">
        <v>149379243.82999998</v>
      </c>
      <c r="W144" s="319">
        <v>0.33417842378839696</v>
      </c>
      <c r="X144" s="323">
        <v>299633.06340769521</v>
      </c>
    </row>
    <row r="145" spans="21:24">
      <c r="U145" s="313" t="s">
        <v>481</v>
      </c>
      <c r="V145" s="318">
        <v>28627419.348565754</v>
      </c>
      <c r="W145" s="319">
        <v>6.404280561173839E-2</v>
      </c>
      <c r="X145" s="323">
        <v>57422.444624430544</v>
      </c>
    </row>
    <row r="146" spans="21:24">
      <c r="U146" s="313"/>
      <c r="V146" s="318"/>
      <c r="W146" s="313"/>
      <c r="X146" s="323"/>
    </row>
    <row r="147" spans="21:24">
      <c r="U147" s="313"/>
      <c r="V147" s="321"/>
      <c r="W147" s="313"/>
      <c r="X147" s="317"/>
    </row>
    <row r="148" spans="21:24">
      <c r="U148" s="313"/>
      <c r="V148" s="322">
        <v>447004453.89791977</v>
      </c>
      <c r="W148" s="319">
        <v>1</v>
      </c>
      <c r="X148" s="323">
        <v>896626</v>
      </c>
    </row>
    <row r="149" spans="21:24">
      <c r="U149" s="313"/>
      <c r="V149" s="313"/>
      <c r="W149" s="313"/>
      <c r="X149" s="313"/>
    </row>
    <row r="150" spans="21:24">
      <c r="U150" s="313"/>
      <c r="V150" s="313"/>
      <c r="W150" s="313"/>
      <c r="X150" s="313"/>
    </row>
    <row r="151" spans="21:24">
      <c r="U151" s="313"/>
      <c r="V151" s="313"/>
      <c r="W151" s="313"/>
      <c r="X151" s="313"/>
    </row>
    <row r="152" spans="21:24">
      <c r="U152" s="313"/>
      <c r="V152" s="316">
        <v>43800</v>
      </c>
      <c r="W152" s="313"/>
      <c r="X152" s="317">
        <v>926327</v>
      </c>
    </row>
    <row r="153" spans="21:24">
      <c r="U153" s="313" t="s">
        <v>479</v>
      </c>
      <c r="V153" s="318">
        <v>217292128.47999999</v>
      </c>
      <c r="W153" s="319">
        <v>0.4834183344553124</v>
      </c>
      <c r="X153" s="323">
        <v>447803.45550098619</v>
      </c>
    </row>
    <row r="154" spans="21:24">
      <c r="U154" s="324" t="s">
        <v>207</v>
      </c>
      <c r="V154" s="318">
        <v>53064947.060950994</v>
      </c>
      <c r="W154" s="319">
        <v>0.11805567235964265</v>
      </c>
      <c r="X154" s="323">
        <v>109358.1568098907</v>
      </c>
    </row>
    <row r="155" spans="21:24">
      <c r="U155" s="313" t="s">
        <v>480</v>
      </c>
      <c r="V155" s="318">
        <v>150299349.41999996</v>
      </c>
      <c r="W155" s="319">
        <v>0.33437686709862086</v>
      </c>
      <c r="X155" s="323">
        <v>309742.32016886416</v>
      </c>
    </row>
    <row r="156" spans="21:24">
      <c r="U156" s="313" t="s">
        <v>481</v>
      </c>
      <c r="V156" s="318">
        <v>28834446.594080299</v>
      </c>
      <c r="W156" s="319">
        <v>6.4149126086423952E-2</v>
      </c>
      <c r="X156" s="323">
        <v>59423.067520258839</v>
      </c>
    </row>
    <row r="157" spans="21:24">
      <c r="U157" s="313"/>
      <c r="V157" s="318"/>
      <c r="W157" s="313"/>
      <c r="X157" s="323"/>
    </row>
    <row r="158" spans="21:24">
      <c r="U158" s="313"/>
      <c r="V158" s="321"/>
      <c r="W158" s="313"/>
      <c r="X158" s="317"/>
    </row>
    <row r="159" spans="21:24">
      <c r="U159" s="313"/>
      <c r="V159" s="322">
        <v>449490871.5550313</v>
      </c>
      <c r="W159" s="319">
        <v>1</v>
      </c>
      <c r="X159" s="323">
        <v>926326.99999999988</v>
      </c>
    </row>
  </sheetData>
  <mergeCells count="12">
    <mergeCell ref="V24:AA24"/>
    <mergeCell ref="W11:X11"/>
    <mergeCell ref="W12:X12"/>
    <mergeCell ref="K49:M49"/>
    <mergeCell ref="Y12:Z12"/>
    <mergeCell ref="Y11:Z11"/>
    <mergeCell ref="A4:I4"/>
    <mergeCell ref="A5:I5"/>
    <mergeCell ref="A7:I7"/>
    <mergeCell ref="J4:R4"/>
    <mergeCell ref="J5:R5"/>
    <mergeCell ref="J7:R7"/>
  </mergeCells>
  <phoneticPr fontId="21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206"/>
  <sheetViews>
    <sheetView zoomScaleNormal="100" workbookViewId="0">
      <selection activeCell="A4" sqref="A4:J45"/>
    </sheetView>
  </sheetViews>
  <sheetFormatPr defaultColWidth="7.109375" defaultRowHeight="12.75"/>
  <cols>
    <col min="1" max="1" width="4.77734375" style="30" customWidth="1"/>
    <col min="2" max="2" width="15.6640625" style="30" customWidth="1"/>
    <col min="3" max="3" width="7.109375" style="30" customWidth="1"/>
    <col min="4" max="4" width="8.77734375" style="30" customWidth="1"/>
    <col min="5" max="5" width="7.88671875" style="30" customWidth="1"/>
    <col min="6" max="6" width="7.6640625" style="30" customWidth="1"/>
    <col min="7" max="7" width="10.33203125" style="30" customWidth="1"/>
    <col min="8" max="8" width="13" style="30" customWidth="1"/>
    <col min="9" max="9" width="11.77734375" style="30" customWidth="1"/>
    <col min="10" max="10" width="11.21875" style="30" customWidth="1"/>
    <col min="11" max="11" width="8" style="30" customWidth="1"/>
    <col min="12" max="16384" width="7.109375" style="30"/>
  </cols>
  <sheetData>
    <row r="1" spans="1:11">
      <c r="K1" s="159"/>
    </row>
    <row r="2" spans="1:11">
      <c r="B2" s="103"/>
      <c r="C2" s="8"/>
      <c r="D2" s="8"/>
      <c r="E2" s="8"/>
      <c r="F2" s="8"/>
      <c r="G2" s="8"/>
      <c r="H2" s="8"/>
      <c r="J2" s="82" t="str">
        <f>+'CU AC Rate Design - True-Up'!H1</f>
        <v>Date: May 31, 2020</v>
      </c>
    </row>
    <row r="3" spans="1:11" ht="15" customHeight="1">
      <c r="A3" s="335" t="s">
        <v>360</v>
      </c>
      <c r="B3" s="335"/>
      <c r="C3" s="335"/>
      <c r="D3" s="335"/>
      <c r="E3" s="335"/>
      <c r="F3" s="335"/>
      <c r="G3" s="335"/>
      <c r="H3" s="335"/>
      <c r="I3" s="335"/>
      <c r="J3" s="335"/>
    </row>
    <row r="4" spans="1:11" ht="15" customHeight="1">
      <c r="A4" s="335" t="s">
        <v>77</v>
      </c>
      <c r="B4" s="335"/>
      <c r="C4" s="335"/>
      <c r="D4" s="335"/>
      <c r="E4" s="335"/>
      <c r="F4" s="335"/>
      <c r="G4" s="335"/>
      <c r="H4" s="335"/>
      <c r="I4" s="335"/>
      <c r="J4" s="335"/>
    </row>
    <row r="5" spans="1:11">
      <c r="B5" s="103"/>
      <c r="C5" s="8"/>
      <c r="D5" s="105"/>
      <c r="E5" s="8"/>
      <c r="G5" s="8"/>
      <c r="H5" s="8"/>
      <c r="I5" s="8"/>
      <c r="J5" s="8"/>
    </row>
    <row r="6" spans="1:11" ht="18.75">
      <c r="A6" s="160" t="s">
        <v>196</v>
      </c>
      <c r="B6" s="103"/>
      <c r="C6" s="8"/>
      <c r="D6" s="349" t="s">
        <v>454</v>
      </c>
      <c r="E6" s="350"/>
      <c r="F6" s="350"/>
      <c r="G6" s="350"/>
      <c r="H6" s="351"/>
      <c r="I6" s="8"/>
      <c r="J6" s="8"/>
    </row>
    <row r="7" spans="1:11" ht="13.5" thickBot="1">
      <c r="A7" s="161" t="s">
        <v>197</v>
      </c>
    </row>
    <row r="8" spans="1:11" ht="15">
      <c r="A8" s="56">
        <v>1</v>
      </c>
      <c r="B8" s="162"/>
      <c r="C8" s="11"/>
      <c r="D8" s="21" t="s">
        <v>69</v>
      </c>
      <c r="E8" s="10" t="s">
        <v>94</v>
      </c>
      <c r="F8" s="10" t="s">
        <v>95</v>
      </c>
      <c r="G8" s="11" t="s">
        <v>96</v>
      </c>
      <c r="H8" s="21" t="s">
        <v>139</v>
      </c>
      <c r="I8" s="21" t="s">
        <v>1</v>
      </c>
      <c r="J8" s="10" t="s">
        <v>326</v>
      </c>
      <c r="K8" s="76"/>
    </row>
    <row r="9" spans="1:11" ht="15">
      <c r="A9" s="56">
        <f>A8+1</f>
        <v>2</v>
      </c>
      <c r="B9" s="163"/>
      <c r="C9" s="13"/>
      <c r="D9" s="12" t="s">
        <v>326</v>
      </c>
      <c r="E9" s="12" t="s">
        <v>326</v>
      </c>
      <c r="F9" s="12" t="s">
        <v>97</v>
      </c>
      <c r="G9" s="13" t="s">
        <v>98</v>
      </c>
      <c r="H9" s="14" t="s">
        <v>140</v>
      </c>
      <c r="I9" s="14" t="s">
        <v>2</v>
      </c>
      <c r="J9" s="14" t="s">
        <v>109</v>
      </c>
      <c r="K9" s="76"/>
    </row>
    <row r="10" spans="1:11" ht="15.75" thickBot="1">
      <c r="A10" s="56">
        <f t="shared" ref="A10:A47" si="0">A9+1</f>
        <v>3</v>
      </c>
      <c r="B10" s="164"/>
      <c r="C10" s="16"/>
      <c r="D10" s="15" t="s">
        <v>99</v>
      </c>
      <c r="E10" s="12" t="s">
        <v>99</v>
      </c>
      <c r="F10" s="15" t="s">
        <v>99</v>
      </c>
      <c r="G10" s="16" t="s">
        <v>99</v>
      </c>
      <c r="H10" s="22" t="s">
        <v>99</v>
      </c>
      <c r="I10" s="22" t="s">
        <v>99</v>
      </c>
      <c r="J10" s="14" t="s">
        <v>110</v>
      </c>
      <c r="K10" s="76"/>
    </row>
    <row r="11" spans="1:11" ht="15">
      <c r="A11" s="56">
        <f t="shared" si="0"/>
        <v>4</v>
      </c>
      <c r="B11" s="23" t="s">
        <v>159</v>
      </c>
      <c r="C11" s="24"/>
      <c r="D11" s="162">
        <v>292</v>
      </c>
      <c r="E11" s="77">
        <v>322</v>
      </c>
      <c r="F11" s="328">
        <v>2</v>
      </c>
      <c r="G11" s="77">
        <v>55</v>
      </c>
      <c r="H11" s="11">
        <v>255</v>
      </c>
      <c r="I11" s="162">
        <v>80</v>
      </c>
      <c r="J11" s="77">
        <f>SUM(D11:I11)</f>
        <v>1006</v>
      </c>
      <c r="K11" s="76"/>
    </row>
    <row r="12" spans="1:11" ht="15">
      <c r="A12" s="56">
        <f t="shared" si="0"/>
        <v>5</v>
      </c>
      <c r="B12" s="23" t="s">
        <v>179</v>
      </c>
      <c r="C12" s="25"/>
      <c r="D12" s="163">
        <v>305</v>
      </c>
      <c r="E12" s="78">
        <v>339</v>
      </c>
      <c r="F12" s="329">
        <v>3</v>
      </c>
      <c r="G12" s="78">
        <v>57</v>
      </c>
      <c r="H12" s="13">
        <v>255</v>
      </c>
      <c r="I12" s="163">
        <v>80</v>
      </c>
      <c r="J12" s="78">
        <f t="shared" ref="J12:J21" si="1">SUM(D12:I12)</f>
        <v>1039</v>
      </c>
      <c r="K12" s="76"/>
    </row>
    <row r="13" spans="1:11" ht="15">
      <c r="A13" s="56">
        <f t="shared" si="0"/>
        <v>6</v>
      </c>
      <c r="B13" s="23" t="s">
        <v>180</v>
      </c>
      <c r="C13" s="25"/>
      <c r="D13" s="163">
        <v>272</v>
      </c>
      <c r="E13" s="78">
        <v>323</v>
      </c>
      <c r="F13" s="329">
        <v>2</v>
      </c>
      <c r="G13" s="78">
        <v>52</v>
      </c>
      <c r="H13" s="13">
        <v>255</v>
      </c>
      <c r="I13" s="163">
        <v>80</v>
      </c>
      <c r="J13" s="78">
        <f t="shared" si="1"/>
        <v>984</v>
      </c>
      <c r="K13" s="76"/>
    </row>
    <row r="14" spans="1:11" ht="15">
      <c r="A14" s="56">
        <f t="shared" si="0"/>
        <v>7</v>
      </c>
      <c r="B14" s="23" t="s">
        <v>190</v>
      </c>
      <c r="C14" s="25"/>
      <c r="D14" s="163">
        <v>234</v>
      </c>
      <c r="E14" s="78">
        <v>283</v>
      </c>
      <c r="F14" s="329">
        <v>3</v>
      </c>
      <c r="G14" s="78">
        <v>42</v>
      </c>
      <c r="H14" s="13">
        <v>255</v>
      </c>
      <c r="I14" s="163">
        <v>80</v>
      </c>
      <c r="J14" s="78">
        <f t="shared" si="1"/>
        <v>897</v>
      </c>
      <c r="K14" s="76"/>
    </row>
    <row r="15" spans="1:11" ht="15">
      <c r="A15" s="56">
        <f t="shared" si="0"/>
        <v>8</v>
      </c>
      <c r="B15" s="23" t="s">
        <v>191</v>
      </c>
      <c r="C15" s="25"/>
      <c r="D15" s="163">
        <v>261</v>
      </c>
      <c r="E15" s="78">
        <v>220</v>
      </c>
      <c r="F15" s="329">
        <v>2</v>
      </c>
      <c r="G15" s="78">
        <v>38</v>
      </c>
      <c r="H15" s="13">
        <v>255</v>
      </c>
      <c r="I15" s="163">
        <v>80</v>
      </c>
      <c r="J15" s="78">
        <f t="shared" si="1"/>
        <v>856</v>
      </c>
      <c r="K15" s="76"/>
    </row>
    <row r="16" spans="1:11" ht="15">
      <c r="A16" s="56">
        <f t="shared" si="0"/>
        <v>9</v>
      </c>
      <c r="B16" s="23" t="s">
        <v>192</v>
      </c>
      <c r="C16" s="25"/>
      <c r="D16" s="163">
        <v>304</v>
      </c>
      <c r="E16" s="78">
        <v>250</v>
      </c>
      <c r="F16" s="329">
        <v>3</v>
      </c>
      <c r="G16" s="78">
        <v>58</v>
      </c>
      <c r="H16" s="13">
        <v>255</v>
      </c>
      <c r="I16" s="163">
        <v>80</v>
      </c>
      <c r="J16" s="78">
        <f t="shared" si="1"/>
        <v>950</v>
      </c>
      <c r="K16" s="76"/>
    </row>
    <row r="17" spans="1:12" ht="15">
      <c r="A17" s="56">
        <f t="shared" si="0"/>
        <v>10</v>
      </c>
      <c r="B17" s="23" t="s">
        <v>181</v>
      </c>
      <c r="C17" s="25"/>
      <c r="D17" s="163">
        <v>312</v>
      </c>
      <c r="E17" s="78">
        <v>255</v>
      </c>
      <c r="F17" s="329">
        <v>3</v>
      </c>
      <c r="G17" s="78">
        <v>55</v>
      </c>
      <c r="H17" s="13">
        <v>255</v>
      </c>
      <c r="I17" s="163">
        <v>80</v>
      </c>
      <c r="J17" s="78">
        <f t="shared" si="1"/>
        <v>960</v>
      </c>
      <c r="K17" s="76"/>
    </row>
    <row r="18" spans="1:12" ht="15">
      <c r="A18" s="56">
        <f t="shared" si="0"/>
        <v>11</v>
      </c>
      <c r="B18" s="23" t="s">
        <v>156</v>
      </c>
      <c r="C18" s="25"/>
      <c r="D18" s="163">
        <v>334</v>
      </c>
      <c r="E18" s="78">
        <v>258</v>
      </c>
      <c r="F18" s="329">
        <v>3</v>
      </c>
      <c r="G18" s="78">
        <v>65</v>
      </c>
      <c r="H18" s="13">
        <v>255</v>
      </c>
      <c r="I18" s="163">
        <v>80</v>
      </c>
      <c r="J18" s="78">
        <f t="shared" si="1"/>
        <v>995</v>
      </c>
      <c r="K18" s="76"/>
    </row>
    <row r="19" spans="1:12" ht="15">
      <c r="A19" s="56">
        <f t="shared" si="0"/>
        <v>12</v>
      </c>
      <c r="B19" s="23" t="s">
        <v>182</v>
      </c>
      <c r="C19" s="25"/>
      <c r="D19" s="163">
        <v>286</v>
      </c>
      <c r="E19" s="78">
        <v>241</v>
      </c>
      <c r="F19" s="329">
        <v>4</v>
      </c>
      <c r="G19" s="78">
        <v>53</v>
      </c>
      <c r="H19" s="13">
        <v>255</v>
      </c>
      <c r="I19" s="163">
        <v>80</v>
      </c>
      <c r="J19" s="78">
        <f t="shared" si="1"/>
        <v>919</v>
      </c>
      <c r="K19" s="76"/>
    </row>
    <row r="20" spans="1:12" ht="15">
      <c r="A20" s="56">
        <f t="shared" si="0"/>
        <v>13</v>
      </c>
      <c r="B20" s="23" t="s">
        <v>157</v>
      </c>
      <c r="C20" s="25"/>
      <c r="D20" s="163">
        <v>294</v>
      </c>
      <c r="E20" s="78">
        <v>307</v>
      </c>
      <c r="F20" s="329">
        <v>3</v>
      </c>
      <c r="G20" s="78">
        <v>53</v>
      </c>
      <c r="H20" s="13">
        <v>255</v>
      </c>
      <c r="I20" s="163">
        <v>80</v>
      </c>
      <c r="J20" s="78">
        <f t="shared" si="1"/>
        <v>992</v>
      </c>
      <c r="K20" s="76"/>
    </row>
    <row r="21" spans="1:12" ht="15">
      <c r="A21" s="56">
        <f t="shared" si="0"/>
        <v>14</v>
      </c>
      <c r="B21" s="23" t="s">
        <v>158</v>
      </c>
      <c r="C21" s="25"/>
      <c r="D21" s="163">
        <v>246</v>
      </c>
      <c r="E21" s="78">
        <v>273</v>
      </c>
      <c r="F21" s="329">
        <v>3</v>
      </c>
      <c r="G21" s="78">
        <v>43</v>
      </c>
      <c r="H21" s="13">
        <v>255</v>
      </c>
      <c r="I21" s="163">
        <v>80</v>
      </c>
      <c r="J21" s="78">
        <f t="shared" si="1"/>
        <v>900</v>
      </c>
      <c r="K21" s="76"/>
    </row>
    <row r="22" spans="1:12" ht="15.75" thickBot="1">
      <c r="A22" s="56">
        <f t="shared" si="0"/>
        <v>15</v>
      </c>
      <c r="B22" s="26" t="s">
        <v>183</v>
      </c>
      <c r="C22" s="27"/>
      <c r="D22" s="164">
        <v>252</v>
      </c>
      <c r="E22" s="79">
        <v>300</v>
      </c>
      <c r="F22" s="330">
        <v>2</v>
      </c>
      <c r="G22" s="79">
        <v>44</v>
      </c>
      <c r="H22" s="330">
        <v>255</v>
      </c>
      <c r="I22" s="164">
        <v>80</v>
      </c>
      <c r="J22" s="79">
        <f>SUM(D22:I22)</f>
        <v>933</v>
      </c>
      <c r="K22" s="76"/>
    </row>
    <row r="23" spans="1:12" ht="15.75" thickBot="1">
      <c r="A23" s="56">
        <f t="shared" si="0"/>
        <v>16</v>
      </c>
      <c r="B23" s="165"/>
      <c r="C23" s="25"/>
      <c r="D23" s="17"/>
      <c r="E23" s="17"/>
      <c r="F23" s="17"/>
      <c r="G23" s="12"/>
      <c r="H23" s="13"/>
      <c r="I23" s="15"/>
      <c r="J23" s="17"/>
      <c r="K23" s="76"/>
    </row>
    <row r="24" spans="1:12" ht="15.75" thickBot="1">
      <c r="A24" s="56">
        <f t="shared" si="0"/>
        <v>17</v>
      </c>
      <c r="B24" s="166" t="s">
        <v>118</v>
      </c>
      <c r="C24" s="167"/>
      <c r="D24" s="99">
        <f t="shared" ref="D24:J24" si="2">SUM(D11:D22)/12</f>
        <v>282.66666666666669</v>
      </c>
      <c r="E24" s="18">
        <f t="shared" si="2"/>
        <v>280.91666666666669</v>
      </c>
      <c r="F24" s="168">
        <f t="shared" si="2"/>
        <v>2.75</v>
      </c>
      <c r="G24" s="18">
        <f t="shared" si="2"/>
        <v>51.25</v>
      </c>
      <c r="H24" s="169">
        <f t="shared" si="2"/>
        <v>255</v>
      </c>
      <c r="I24" s="99">
        <f t="shared" si="2"/>
        <v>80</v>
      </c>
      <c r="J24" s="18">
        <f t="shared" si="2"/>
        <v>952.58333333333337</v>
      </c>
      <c r="K24" s="76"/>
    </row>
    <row r="25" spans="1:12">
      <c r="A25" s="56">
        <f t="shared" si="0"/>
        <v>18</v>
      </c>
    </row>
    <row r="26" spans="1:12" ht="18.75">
      <c r="A26" s="56">
        <f t="shared" si="0"/>
        <v>19</v>
      </c>
      <c r="B26" s="103"/>
      <c r="C26" s="8"/>
      <c r="D26" s="349" t="s">
        <v>455</v>
      </c>
      <c r="E26" s="350"/>
      <c r="F26" s="350"/>
      <c r="G26" s="350"/>
      <c r="H26" s="351"/>
      <c r="I26" s="8"/>
    </row>
    <row r="27" spans="1:12" ht="13.5" thickBot="1">
      <c r="A27" s="56">
        <f t="shared" si="0"/>
        <v>20</v>
      </c>
    </row>
    <row r="28" spans="1:12">
      <c r="A28" s="56">
        <f t="shared" si="0"/>
        <v>21</v>
      </c>
      <c r="B28" s="162"/>
      <c r="C28" s="11"/>
      <c r="D28" s="21" t="s">
        <v>69</v>
      </c>
      <c r="E28" s="10" t="s">
        <v>94</v>
      </c>
      <c r="F28" s="10" t="s">
        <v>95</v>
      </c>
      <c r="G28" s="11" t="s">
        <v>96</v>
      </c>
      <c r="H28" s="21" t="s">
        <v>139</v>
      </c>
      <c r="I28" s="21" t="s">
        <v>1</v>
      </c>
      <c r="J28" s="10" t="s">
        <v>326</v>
      </c>
    </row>
    <row r="29" spans="1:12">
      <c r="A29" s="56">
        <f t="shared" si="0"/>
        <v>22</v>
      </c>
      <c r="B29" s="163"/>
      <c r="C29" s="13"/>
      <c r="D29" s="12" t="s">
        <v>326</v>
      </c>
      <c r="E29" s="12" t="s">
        <v>326</v>
      </c>
      <c r="F29" s="12" t="s">
        <v>97</v>
      </c>
      <c r="G29" s="13" t="s">
        <v>98</v>
      </c>
      <c r="H29" s="14" t="s">
        <v>140</v>
      </c>
      <c r="I29" s="14" t="s">
        <v>2</v>
      </c>
      <c r="J29" s="14" t="s">
        <v>109</v>
      </c>
    </row>
    <row r="30" spans="1:12" ht="13.5" thickBot="1">
      <c r="A30" s="56">
        <f t="shared" si="0"/>
        <v>23</v>
      </c>
      <c r="B30" s="164"/>
      <c r="C30" s="16"/>
      <c r="D30" s="15" t="s">
        <v>99</v>
      </c>
      <c r="E30" s="12" t="s">
        <v>99</v>
      </c>
      <c r="F30" s="15" t="s">
        <v>99</v>
      </c>
      <c r="G30" s="16" t="s">
        <v>99</v>
      </c>
      <c r="H30" s="22" t="s">
        <v>99</v>
      </c>
      <c r="I30" s="22" t="s">
        <v>99</v>
      </c>
      <c r="J30" s="22" t="s">
        <v>110</v>
      </c>
    </row>
    <row r="31" spans="1:12">
      <c r="A31" s="56">
        <f t="shared" si="0"/>
        <v>24</v>
      </c>
      <c r="B31" s="23" t="s">
        <v>159</v>
      </c>
      <c r="C31" s="24"/>
      <c r="D31" s="331">
        <v>308</v>
      </c>
      <c r="E31" s="77">
        <v>350</v>
      </c>
      <c r="F31" s="328">
        <v>2</v>
      </c>
      <c r="G31" s="77">
        <v>57</v>
      </c>
      <c r="H31" s="11">
        <v>255</v>
      </c>
      <c r="I31" s="162">
        <v>80</v>
      </c>
      <c r="J31" s="77">
        <f>SUM(D31:I31)</f>
        <v>1052</v>
      </c>
      <c r="K31" s="25"/>
      <c r="L31" s="170"/>
    </row>
    <row r="32" spans="1:12">
      <c r="A32" s="56">
        <f t="shared" si="0"/>
        <v>25</v>
      </c>
      <c r="B32" s="23" t="s">
        <v>179</v>
      </c>
      <c r="C32" s="25"/>
      <c r="D32" s="332">
        <v>282</v>
      </c>
      <c r="E32" s="78">
        <v>327</v>
      </c>
      <c r="F32" s="329">
        <v>3</v>
      </c>
      <c r="G32" s="78">
        <v>53</v>
      </c>
      <c r="H32" s="13">
        <v>255</v>
      </c>
      <c r="I32" s="163">
        <v>80</v>
      </c>
      <c r="J32" s="78">
        <f t="shared" ref="J32:J41" si="3">SUM(D32:I32)</f>
        <v>1000</v>
      </c>
      <c r="K32" s="25"/>
    </row>
    <row r="33" spans="1:11">
      <c r="A33" s="56">
        <f t="shared" si="0"/>
        <v>26</v>
      </c>
      <c r="B33" s="23" t="s">
        <v>180</v>
      </c>
      <c r="C33" s="25"/>
      <c r="D33" s="332">
        <v>247</v>
      </c>
      <c r="E33" s="78">
        <v>324</v>
      </c>
      <c r="F33" s="329">
        <v>2</v>
      </c>
      <c r="G33" s="78">
        <v>45</v>
      </c>
      <c r="H33" s="13">
        <v>255</v>
      </c>
      <c r="I33" s="163">
        <v>80</v>
      </c>
      <c r="J33" s="78">
        <f t="shared" si="3"/>
        <v>953</v>
      </c>
      <c r="K33" s="25"/>
    </row>
    <row r="34" spans="1:11">
      <c r="A34" s="56">
        <f t="shared" si="0"/>
        <v>27</v>
      </c>
      <c r="B34" s="23" t="s">
        <v>190</v>
      </c>
      <c r="C34" s="25"/>
      <c r="D34" s="332">
        <v>252</v>
      </c>
      <c r="E34" s="78">
        <v>293</v>
      </c>
      <c r="F34" s="329">
        <v>3</v>
      </c>
      <c r="G34" s="78">
        <v>43</v>
      </c>
      <c r="H34" s="13">
        <v>255</v>
      </c>
      <c r="I34" s="163">
        <v>80</v>
      </c>
      <c r="J34" s="78">
        <f t="shared" si="3"/>
        <v>926</v>
      </c>
      <c r="K34" s="25"/>
    </row>
    <row r="35" spans="1:11">
      <c r="A35" s="56">
        <f t="shared" si="0"/>
        <v>28</v>
      </c>
      <c r="B35" s="23" t="s">
        <v>191</v>
      </c>
      <c r="C35" s="25"/>
      <c r="D35" s="332">
        <v>302</v>
      </c>
      <c r="E35" s="78">
        <v>234</v>
      </c>
      <c r="F35" s="329">
        <v>3</v>
      </c>
      <c r="G35" s="78">
        <v>45</v>
      </c>
      <c r="H35" s="13">
        <v>255</v>
      </c>
      <c r="I35" s="163">
        <v>80</v>
      </c>
      <c r="J35" s="78">
        <f t="shared" si="3"/>
        <v>919</v>
      </c>
      <c r="K35" s="25"/>
    </row>
    <row r="36" spans="1:11">
      <c r="A36" s="56">
        <f t="shared" si="0"/>
        <v>29</v>
      </c>
      <c r="B36" s="23" t="s">
        <v>192</v>
      </c>
      <c r="C36" s="25"/>
      <c r="D36" s="332">
        <v>325</v>
      </c>
      <c r="E36" s="78">
        <v>257</v>
      </c>
      <c r="F36" s="329">
        <v>3</v>
      </c>
      <c r="G36" s="78">
        <v>65</v>
      </c>
      <c r="H36" s="13">
        <v>255</v>
      </c>
      <c r="I36" s="163">
        <v>80</v>
      </c>
      <c r="J36" s="78">
        <f t="shared" si="3"/>
        <v>985</v>
      </c>
      <c r="K36" s="25"/>
    </row>
    <row r="37" spans="1:11">
      <c r="A37" s="56">
        <f t="shared" si="0"/>
        <v>30</v>
      </c>
      <c r="B37" s="23" t="s">
        <v>181</v>
      </c>
      <c r="C37" s="25"/>
      <c r="D37" s="332">
        <v>355</v>
      </c>
      <c r="E37" s="78">
        <v>243</v>
      </c>
      <c r="F37" s="329">
        <v>4</v>
      </c>
      <c r="G37" s="78">
        <v>76</v>
      </c>
      <c r="H37" s="13">
        <v>255</v>
      </c>
      <c r="I37" s="163">
        <v>80</v>
      </c>
      <c r="J37" s="78">
        <f t="shared" si="3"/>
        <v>1013</v>
      </c>
      <c r="K37" s="25"/>
    </row>
    <row r="38" spans="1:11">
      <c r="A38" s="56">
        <f t="shared" si="0"/>
        <v>31</v>
      </c>
      <c r="B38" s="23" t="s">
        <v>156</v>
      </c>
      <c r="C38" s="25"/>
      <c r="D38" s="332">
        <v>356</v>
      </c>
      <c r="E38" s="78">
        <v>257</v>
      </c>
      <c r="F38" s="329">
        <v>4</v>
      </c>
      <c r="G38" s="78">
        <v>65</v>
      </c>
      <c r="H38" s="13">
        <v>255</v>
      </c>
      <c r="I38" s="163">
        <v>80</v>
      </c>
      <c r="J38" s="78">
        <f t="shared" si="3"/>
        <v>1017</v>
      </c>
      <c r="K38" s="25"/>
    </row>
    <row r="39" spans="1:11">
      <c r="A39" s="56">
        <f t="shared" si="0"/>
        <v>32</v>
      </c>
      <c r="B39" s="23" t="s">
        <v>182</v>
      </c>
      <c r="C39" s="25"/>
      <c r="D39" s="332">
        <v>262</v>
      </c>
      <c r="E39" s="78">
        <v>260</v>
      </c>
      <c r="F39" s="329">
        <v>3</v>
      </c>
      <c r="G39" s="78">
        <v>59</v>
      </c>
      <c r="H39" s="13">
        <v>255</v>
      </c>
      <c r="I39" s="163">
        <v>80</v>
      </c>
      <c r="J39" s="78">
        <f t="shared" si="3"/>
        <v>919</v>
      </c>
      <c r="K39" s="25"/>
    </row>
    <row r="40" spans="1:11">
      <c r="A40" s="56">
        <f t="shared" si="0"/>
        <v>33</v>
      </c>
      <c r="B40" s="23" t="s">
        <v>157</v>
      </c>
      <c r="C40" s="25"/>
      <c r="D40" s="332">
        <v>249</v>
      </c>
      <c r="E40" s="78">
        <v>247</v>
      </c>
      <c r="F40" s="329">
        <v>3</v>
      </c>
      <c r="G40" s="78">
        <v>40</v>
      </c>
      <c r="H40" s="13">
        <v>255</v>
      </c>
      <c r="I40" s="163">
        <v>80</v>
      </c>
      <c r="J40" s="78">
        <f t="shared" si="3"/>
        <v>874</v>
      </c>
      <c r="K40" s="25"/>
    </row>
    <row r="41" spans="1:11">
      <c r="A41" s="56">
        <f t="shared" si="0"/>
        <v>34</v>
      </c>
      <c r="B41" s="23" t="s">
        <v>158</v>
      </c>
      <c r="C41" s="25"/>
      <c r="D41" s="332">
        <v>223</v>
      </c>
      <c r="E41" s="78">
        <v>304</v>
      </c>
      <c r="F41" s="329">
        <v>2</v>
      </c>
      <c r="G41" s="78">
        <v>42</v>
      </c>
      <c r="H41" s="13">
        <v>255</v>
      </c>
      <c r="I41" s="163">
        <v>80</v>
      </c>
      <c r="J41" s="78">
        <f t="shared" si="3"/>
        <v>906</v>
      </c>
      <c r="K41" s="25"/>
    </row>
    <row r="42" spans="1:11" ht="13.5" thickBot="1">
      <c r="A42" s="56">
        <f t="shared" si="0"/>
        <v>35</v>
      </c>
      <c r="B42" s="26" t="s">
        <v>183</v>
      </c>
      <c r="C42" s="27"/>
      <c r="D42" s="333">
        <v>318</v>
      </c>
      <c r="E42" s="79">
        <v>331</v>
      </c>
      <c r="F42" s="330">
        <v>2</v>
      </c>
      <c r="G42" s="79">
        <v>55</v>
      </c>
      <c r="H42" s="330">
        <v>255</v>
      </c>
      <c r="I42" s="164">
        <v>80</v>
      </c>
      <c r="J42" s="79">
        <f>SUM(D42:I42)</f>
        <v>1041</v>
      </c>
      <c r="K42" s="25"/>
    </row>
    <row r="43" spans="1:11" ht="13.5" thickBot="1">
      <c r="A43" s="56">
        <f t="shared" si="0"/>
        <v>36</v>
      </c>
      <c r="B43" s="165"/>
      <c r="C43" s="25"/>
      <c r="D43" s="17"/>
      <c r="E43" s="17"/>
      <c r="F43" s="17"/>
      <c r="G43" s="12"/>
      <c r="H43" s="13"/>
      <c r="I43" s="15"/>
      <c r="J43" s="80"/>
      <c r="K43" s="25"/>
    </row>
    <row r="44" spans="1:11" ht="13.5" thickBot="1">
      <c r="A44" s="56">
        <f t="shared" si="0"/>
        <v>37</v>
      </c>
      <c r="B44" s="166" t="s">
        <v>118</v>
      </c>
      <c r="C44" s="167"/>
      <c r="D44" s="18">
        <f t="shared" ref="D44:J44" si="4">SUM(D31:D42)/12</f>
        <v>289.91666666666669</v>
      </c>
      <c r="E44" s="18">
        <f t="shared" si="4"/>
        <v>285.58333333333331</v>
      </c>
      <c r="F44" s="18">
        <f t="shared" si="4"/>
        <v>2.8333333333333335</v>
      </c>
      <c r="G44" s="18">
        <f t="shared" si="4"/>
        <v>53.75</v>
      </c>
      <c r="H44" s="18">
        <f t="shared" si="4"/>
        <v>255</v>
      </c>
      <c r="I44" s="18">
        <f t="shared" si="4"/>
        <v>80</v>
      </c>
      <c r="J44" s="18">
        <f t="shared" si="4"/>
        <v>967.08333333333337</v>
      </c>
      <c r="K44" s="70"/>
    </row>
    <row r="45" spans="1:11">
      <c r="A45" s="56">
        <f t="shared" si="0"/>
        <v>38</v>
      </c>
    </row>
    <row r="46" spans="1:11">
      <c r="A46" s="56">
        <f t="shared" si="0"/>
        <v>39</v>
      </c>
      <c r="B46" s="29" t="s">
        <v>410</v>
      </c>
      <c r="C46" s="170"/>
      <c r="D46" s="171"/>
      <c r="E46" s="171"/>
      <c r="F46" s="171"/>
      <c r="G46" s="172"/>
      <c r="H46" s="172"/>
      <c r="I46" s="173"/>
    </row>
    <row r="47" spans="1:11">
      <c r="A47" s="56">
        <f t="shared" si="0"/>
        <v>40</v>
      </c>
      <c r="B47" s="29" t="s">
        <v>411</v>
      </c>
      <c r="C47" s="170"/>
      <c r="G47" s="172"/>
    </row>
    <row r="48" spans="1:11">
      <c r="A48" s="56"/>
      <c r="B48" s="29"/>
      <c r="D48" s="31"/>
      <c r="E48" s="31"/>
    </row>
    <row r="49" spans="1:5">
      <c r="A49" s="56"/>
      <c r="B49" s="29"/>
      <c r="D49" s="31"/>
      <c r="E49" s="31"/>
    </row>
    <row r="50" spans="1:5">
      <c r="A50" s="56"/>
      <c r="B50" s="31"/>
      <c r="C50" s="31"/>
      <c r="D50" s="31"/>
      <c r="E50" s="31"/>
    </row>
    <row r="51" spans="1:5">
      <c r="A51" s="56"/>
      <c r="B51" s="31"/>
      <c r="C51" s="31"/>
      <c r="D51" s="31"/>
      <c r="E51" s="31"/>
    </row>
    <row r="52" spans="1:5">
      <c r="B52" s="31"/>
      <c r="C52" s="31"/>
      <c r="D52" s="31"/>
      <c r="E52" s="31"/>
    </row>
    <row r="53" spans="1:5">
      <c r="B53" s="31"/>
      <c r="C53" s="31"/>
      <c r="D53" s="31"/>
      <c r="E53" s="31"/>
    </row>
    <row r="54" spans="1:5">
      <c r="B54" s="31"/>
      <c r="C54" s="31"/>
      <c r="D54" s="31"/>
      <c r="E54" s="31"/>
    </row>
    <row r="55" spans="1:5">
      <c r="B55" s="31"/>
      <c r="C55" s="31"/>
      <c r="D55" s="31"/>
      <c r="E55" s="31"/>
    </row>
    <row r="56" spans="1:5">
      <c r="B56" s="31"/>
      <c r="C56" s="31"/>
      <c r="D56" s="31"/>
      <c r="E56" s="31"/>
    </row>
    <row r="57" spans="1:5">
      <c r="B57" s="31"/>
      <c r="C57" s="31"/>
      <c r="D57" s="31"/>
      <c r="E57" s="31"/>
    </row>
    <row r="58" spans="1:5">
      <c r="B58" s="31"/>
      <c r="C58" s="31"/>
      <c r="D58" s="31"/>
      <c r="E58" s="31"/>
    </row>
    <row r="59" spans="1:5">
      <c r="B59" s="174"/>
      <c r="C59" s="174"/>
      <c r="D59" s="174"/>
      <c r="E59" s="174"/>
    </row>
    <row r="114" spans="8:10">
      <c r="H114" s="30" t="s">
        <v>200</v>
      </c>
      <c r="I114" s="30">
        <f>+K183</f>
        <v>0</v>
      </c>
    </row>
    <row r="115" spans="8:10">
      <c r="I115" s="30">
        <f>+I114</f>
        <v>0</v>
      </c>
    </row>
    <row r="128" spans="8:10">
      <c r="I128" s="30">
        <f>+I6</f>
        <v>0</v>
      </c>
      <c r="J128" s="30">
        <f>+J6</f>
        <v>0</v>
      </c>
    </row>
    <row r="206" spans="9:10">
      <c r="I206" s="30">
        <f>I6</f>
        <v>0</v>
      </c>
      <c r="J206" s="30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R120"/>
  <sheetViews>
    <sheetView zoomScaleNormal="100" zoomScalePageLayoutView="125" workbookViewId="0">
      <selection activeCell="P39" sqref="P39"/>
    </sheetView>
  </sheetViews>
  <sheetFormatPr defaultColWidth="8.5546875" defaultRowHeight="11.25"/>
  <cols>
    <col min="1" max="1" width="3.77734375" style="33" customWidth="1"/>
    <col min="2" max="2" width="18.44140625" style="33" customWidth="1"/>
    <col min="3" max="3" width="11.77734375" style="33" customWidth="1"/>
    <col min="4" max="4" width="10.109375" style="33" customWidth="1"/>
    <col min="5" max="5" width="0.88671875" style="33" customWidth="1"/>
    <col min="6" max="6" width="10.109375" style="33" customWidth="1"/>
    <col min="7" max="7" width="8.5546875" style="33" customWidth="1"/>
    <col min="8" max="8" width="8" style="33" customWidth="1"/>
    <col min="9" max="10" width="8.5546875" style="33"/>
    <col min="11" max="11" width="9.33203125" style="33" bestFit="1" customWidth="1"/>
    <col min="12" max="12" width="8.5546875" style="33"/>
    <col min="13" max="13" width="11.88671875" style="33" customWidth="1"/>
    <col min="14" max="16384" width="8.5546875" style="33"/>
  </cols>
  <sheetData>
    <row r="1" spans="1:11" ht="12.75">
      <c r="C1" s="146"/>
      <c r="H1" s="53" t="str">
        <f>'CU AC Rate Design - True-Up'!H1</f>
        <v>Date: May 31, 2020</v>
      </c>
      <c r="J1" s="147"/>
    </row>
    <row r="2" spans="1:11">
      <c r="C2" s="39"/>
      <c r="D2" s="39"/>
      <c r="H2" s="53" t="s">
        <v>483</v>
      </c>
    </row>
    <row r="3" spans="1:11" ht="12.75">
      <c r="B3" s="352"/>
      <c r="C3" s="352"/>
      <c r="D3" s="352"/>
      <c r="E3" s="352"/>
      <c r="F3" s="352"/>
      <c r="G3" s="352"/>
      <c r="H3" s="352"/>
      <c r="J3" s="147"/>
    </row>
    <row r="4" spans="1:11" ht="12.75">
      <c r="B4" s="148"/>
      <c r="C4" s="146"/>
    </row>
    <row r="5" spans="1:11" ht="12" customHeight="1">
      <c r="B5" s="149"/>
    </row>
    <row r="8" spans="1:11" ht="13.5" customHeight="1">
      <c r="A8" s="150" t="s">
        <v>196</v>
      </c>
      <c r="D8" s="36" t="s">
        <v>300</v>
      </c>
      <c r="F8" s="36" t="s">
        <v>248</v>
      </c>
      <c r="G8" s="36"/>
      <c r="H8" s="36" t="s">
        <v>301</v>
      </c>
    </row>
    <row r="9" spans="1:11" ht="13.5" customHeight="1">
      <c r="A9" s="151" t="s">
        <v>197</v>
      </c>
      <c r="B9" s="44" t="s">
        <v>322</v>
      </c>
      <c r="C9" s="151" t="s">
        <v>302</v>
      </c>
      <c r="D9" s="151" t="s">
        <v>198</v>
      </c>
      <c r="F9" s="151" t="s">
        <v>303</v>
      </c>
      <c r="G9" s="151" t="s">
        <v>199</v>
      </c>
      <c r="H9" s="151" t="s">
        <v>198</v>
      </c>
    </row>
    <row r="10" spans="1:11" ht="13.5" customHeight="1">
      <c r="G10" s="37"/>
    </row>
    <row r="11" spans="1:11">
      <c r="A11" s="36">
        <v>1</v>
      </c>
      <c r="B11" s="33" t="s">
        <v>457</v>
      </c>
      <c r="C11" s="33" t="s">
        <v>397</v>
      </c>
      <c r="D11" s="45">
        <v>2819017</v>
      </c>
      <c r="F11" s="36" t="s">
        <v>387</v>
      </c>
      <c r="G11" s="37">
        <v>1</v>
      </c>
      <c r="H11" s="45">
        <f>D11*G11</f>
        <v>2819017</v>
      </c>
    </row>
    <row r="12" spans="1:11">
      <c r="A12" s="36">
        <f>+A11+1</f>
        <v>2</v>
      </c>
      <c r="B12" s="33" t="s">
        <v>65</v>
      </c>
      <c r="C12" s="33" t="s">
        <v>399</v>
      </c>
      <c r="D12" s="45">
        <v>243</v>
      </c>
      <c r="F12" s="36" t="s">
        <v>387</v>
      </c>
      <c r="G12" s="37">
        <f>+G11</f>
        <v>1</v>
      </c>
      <c r="H12" s="45">
        <f>D12*G12</f>
        <v>243</v>
      </c>
    </row>
    <row r="13" spans="1:11">
      <c r="A13" s="36">
        <f t="shared" ref="A13:A34" si="0">+A12+1</f>
        <v>3</v>
      </c>
      <c r="B13" s="33" t="s">
        <v>66</v>
      </c>
      <c r="C13" s="33" t="s">
        <v>400</v>
      </c>
      <c r="D13" s="45">
        <v>10438</v>
      </c>
      <c r="F13" s="36" t="s">
        <v>387</v>
      </c>
      <c r="G13" s="37">
        <f>+G12</f>
        <v>1</v>
      </c>
      <c r="H13" s="45">
        <f>D13*G13</f>
        <v>10438</v>
      </c>
      <c r="K13" s="287"/>
    </row>
    <row r="14" spans="1:11" ht="12" thickBot="1">
      <c r="A14" s="36">
        <f t="shared" si="0"/>
        <v>4</v>
      </c>
      <c r="B14" s="38" t="s">
        <v>325</v>
      </c>
      <c r="C14" s="39"/>
      <c r="D14" s="40">
        <f>+D11-D12-D13</f>
        <v>2808336</v>
      </c>
      <c r="H14" s="41">
        <f>+H11-H12-H13</f>
        <v>2808336</v>
      </c>
    </row>
    <row r="15" spans="1:11">
      <c r="A15" s="36">
        <f t="shared" si="0"/>
        <v>5</v>
      </c>
    </row>
    <row r="16" spans="1:11">
      <c r="A16" s="36">
        <f t="shared" si="0"/>
        <v>6</v>
      </c>
      <c r="B16" s="44" t="s">
        <v>456</v>
      </c>
    </row>
    <row r="17" spans="1:7">
      <c r="A17" s="36">
        <f t="shared" si="0"/>
        <v>7</v>
      </c>
      <c r="B17" s="33" t="s">
        <v>304</v>
      </c>
      <c r="C17" s="33" t="s">
        <v>398</v>
      </c>
      <c r="D17" s="45">
        <f>75329+801658+218417+316188+965028+1492+54824+295871</f>
        <v>2728807</v>
      </c>
    </row>
    <row r="18" spans="1:7">
      <c r="A18" s="36">
        <f t="shared" si="0"/>
        <v>8</v>
      </c>
      <c r="B18" s="33" t="s">
        <v>65</v>
      </c>
      <c r="C18" s="33" t="s">
        <v>67</v>
      </c>
      <c r="D18" s="45">
        <v>1492</v>
      </c>
      <c r="F18" s="84"/>
      <c r="G18" s="84"/>
    </row>
    <row r="19" spans="1:7">
      <c r="A19" s="36">
        <f t="shared" si="0"/>
        <v>9</v>
      </c>
      <c r="B19" s="33" t="s">
        <v>66</v>
      </c>
      <c r="C19" s="33" t="s">
        <v>68</v>
      </c>
      <c r="D19" s="45">
        <v>54824</v>
      </c>
      <c r="F19" s="84"/>
      <c r="G19" s="84"/>
    </row>
    <row r="20" spans="1:7" ht="12" thickBot="1">
      <c r="A20" s="36">
        <f t="shared" si="0"/>
        <v>10</v>
      </c>
      <c r="D20" s="40">
        <f>+D17-D18-D19</f>
        <v>2672491</v>
      </c>
      <c r="F20" s="84"/>
      <c r="G20" s="84"/>
    </row>
    <row r="21" spans="1:7">
      <c r="A21" s="36">
        <f t="shared" si="0"/>
        <v>11</v>
      </c>
      <c r="D21" s="46"/>
      <c r="F21" s="84"/>
      <c r="G21" s="84"/>
    </row>
    <row r="22" spans="1:7">
      <c r="A22" s="36">
        <f t="shared" si="0"/>
        <v>12</v>
      </c>
      <c r="B22" s="33" t="str">
        <f>"True-up Amount to be (Refunded)/Paid (line "&amp;A20&amp;"-line "&amp;A14&amp;")"</f>
        <v>True-up Amount to be (Refunded)/Paid (line 10-line 4)</v>
      </c>
      <c r="D22" s="46">
        <f>D20-D14</f>
        <v>-135845</v>
      </c>
      <c r="F22" s="84"/>
      <c r="G22" s="84"/>
    </row>
    <row r="23" spans="1:7">
      <c r="A23" s="36">
        <f t="shared" si="0"/>
        <v>13</v>
      </c>
      <c r="F23" s="84"/>
      <c r="G23" s="84"/>
    </row>
    <row r="24" spans="1:7">
      <c r="A24" s="36">
        <f t="shared" si="0"/>
        <v>14</v>
      </c>
    </row>
    <row r="25" spans="1:7">
      <c r="A25" s="36">
        <f t="shared" si="0"/>
        <v>15</v>
      </c>
      <c r="B25" s="42" t="s">
        <v>305</v>
      </c>
    </row>
    <row r="26" spans="1:7">
      <c r="A26" s="36">
        <f t="shared" si="0"/>
        <v>16</v>
      </c>
    </row>
    <row r="27" spans="1:7" ht="12.75">
      <c r="A27" s="36">
        <f t="shared" si="0"/>
        <v>17</v>
      </c>
      <c r="B27" s="33" t="s">
        <v>306</v>
      </c>
      <c r="D27" s="50">
        <f>D20</f>
        <v>2672491</v>
      </c>
    </row>
    <row r="28" spans="1:7" ht="12.75">
      <c r="A28" s="36">
        <f t="shared" si="0"/>
        <v>18</v>
      </c>
      <c r="B28" s="51" t="s">
        <v>307</v>
      </c>
      <c r="D28" s="52">
        <f>'WP7 CU AC LOADS'!J24*1000</f>
        <v>952583.33333333337</v>
      </c>
      <c r="F28" s="152" t="s">
        <v>308</v>
      </c>
      <c r="G28" s="33" t="s">
        <v>475</v>
      </c>
    </row>
    <row r="29" spans="1:7" ht="12">
      <c r="A29" s="36">
        <f t="shared" si="0"/>
        <v>19</v>
      </c>
      <c r="F29" s="152"/>
    </row>
    <row r="30" spans="1:7" ht="12.75">
      <c r="A30" s="36">
        <f t="shared" si="0"/>
        <v>20</v>
      </c>
      <c r="B30" s="53" t="s">
        <v>309</v>
      </c>
      <c r="D30" s="54">
        <f>D27/D28</f>
        <v>2.8055193771323594</v>
      </c>
      <c r="E30" s="33" t="s">
        <v>310</v>
      </c>
      <c r="F30" s="153" t="s">
        <v>311</v>
      </c>
      <c r="G30" s="33" t="s">
        <v>14</v>
      </c>
    </row>
    <row r="31" spans="1:7" ht="12.75">
      <c r="A31" s="36">
        <f t="shared" si="0"/>
        <v>21</v>
      </c>
      <c r="B31" s="53" t="s">
        <v>312</v>
      </c>
      <c r="D31" s="54">
        <f>D30/12</f>
        <v>0.23379328142769662</v>
      </c>
      <c r="E31" s="33" t="s">
        <v>310</v>
      </c>
      <c r="F31" s="153" t="s">
        <v>313</v>
      </c>
      <c r="G31" s="33" t="s">
        <v>15</v>
      </c>
    </row>
    <row r="32" spans="1:7" ht="12.75">
      <c r="A32" s="36">
        <f t="shared" si="0"/>
        <v>22</v>
      </c>
      <c r="B32" s="53" t="s">
        <v>314</v>
      </c>
      <c r="D32" s="54">
        <f>D30/52</f>
        <v>5.3952295714083838E-2</v>
      </c>
      <c r="E32" s="33" t="s">
        <v>310</v>
      </c>
      <c r="F32" s="153" t="s">
        <v>315</v>
      </c>
      <c r="G32" s="33" t="s">
        <v>16</v>
      </c>
    </row>
    <row r="33" spans="1:8" ht="12.75">
      <c r="A33" s="36">
        <f t="shared" si="0"/>
        <v>23</v>
      </c>
      <c r="B33" s="53" t="s">
        <v>316</v>
      </c>
      <c r="C33" s="36" t="s">
        <v>323</v>
      </c>
      <c r="D33" s="54">
        <f>D30/365</f>
        <v>7.6863544578968752E-3</v>
      </c>
      <c r="E33" s="33" t="s">
        <v>310</v>
      </c>
      <c r="F33" s="153" t="s">
        <v>317</v>
      </c>
      <c r="G33" s="33" t="s">
        <v>17</v>
      </c>
    </row>
    <row r="34" spans="1:8" ht="12.75">
      <c r="A34" s="36">
        <f t="shared" si="0"/>
        <v>24</v>
      </c>
      <c r="B34" s="53" t="s">
        <v>318</v>
      </c>
      <c r="C34" s="36" t="s">
        <v>324</v>
      </c>
      <c r="D34" s="54">
        <f>(D30/8760)*1000</f>
        <v>0.32026476907903645</v>
      </c>
      <c r="E34" s="33" t="s">
        <v>310</v>
      </c>
      <c r="F34" s="153" t="s">
        <v>319</v>
      </c>
      <c r="G34" s="33" t="s">
        <v>18</v>
      </c>
    </row>
    <row r="35" spans="1:8">
      <c r="B35" s="53"/>
    </row>
    <row r="42" spans="1:8" ht="10.5" customHeight="1"/>
    <row r="46" spans="1:8" ht="15.75">
      <c r="H46" s="154"/>
    </row>
    <row r="47" spans="1:8" ht="15">
      <c r="H47" s="155"/>
    </row>
    <row r="48" spans="1:8">
      <c r="H48" s="33" t="s">
        <v>194</v>
      </c>
    </row>
    <row r="52" spans="1:9" ht="14.25">
      <c r="C52" s="156"/>
    </row>
    <row r="53" spans="1:9" ht="14.25">
      <c r="C53" s="156"/>
    </row>
    <row r="54" spans="1:9" ht="14.25">
      <c r="C54" s="157"/>
    </row>
    <row r="55" spans="1:9" ht="15">
      <c r="A55" s="76"/>
      <c r="B55" s="76"/>
      <c r="C55" s="76"/>
      <c r="D55" s="76"/>
      <c r="E55" s="76"/>
      <c r="F55" s="76"/>
      <c r="G55" s="76"/>
      <c r="H55" s="76"/>
      <c r="I55" s="76"/>
    </row>
    <row r="56" spans="1:9" ht="15">
      <c r="A56" s="76"/>
      <c r="B56" s="76"/>
      <c r="C56" s="76"/>
      <c r="D56" s="76"/>
      <c r="E56" s="76"/>
      <c r="F56" s="76"/>
      <c r="G56" s="76"/>
      <c r="H56" s="76"/>
      <c r="I56" s="76"/>
    </row>
    <row r="57" spans="1:9" ht="15">
      <c r="A57" s="76"/>
      <c r="B57" s="76"/>
      <c r="C57" s="76"/>
      <c r="D57" s="76"/>
      <c r="E57" s="76"/>
      <c r="F57" s="76"/>
      <c r="G57" s="76"/>
      <c r="H57" s="76"/>
      <c r="I57" s="76"/>
    </row>
    <row r="58" spans="1:9" ht="15">
      <c r="A58" s="76"/>
      <c r="B58" s="76"/>
      <c r="C58" s="76"/>
      <c r="D58" s="76"/>
      <c r="E58" s="76"/>
      <c r="F58" s="76"/>
      <c r="G58" s="76"/>
      <c r="H58" s="76"/>
      <c r="I58" s="76"/>
    </row>
    <row r="59" spans="1:9" ht="15">
      <c r="A59" s="76"/>
      <c r="B59" s="76"/>
      <c r="C59" s="76"/>
      <c r="D59" s="76"/>
      <c r="E59" s="76"/>
      <c r="F59" s="76"/>
      <c r="G59" s="76"/>
      <c r="H59" s="76"/>
      <c r="I59" s="76"/>
    </row>
    <row r="60" spans="1:9" ht="15">
      <c r="A60" s="76"/>
      <c r="B60" s="76"/>
      <c r="C60" s="76"/>
      <c r="D60" s="76"/>
      <c r="E60" s="76"/>
      <c r="F60" s="76"/>
      <c r="G60" s="76"/>
      <c r="H60" s="76"/>
      <c r="I60" s="76"/>
    </row>
    <row r="61" spans="1:9" ht="15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>
      <c r="A63" s="76"/>
      <c r="B63" s="76"/>
      <c r="C63" s="76"/>
      <c r="D63" s="76"/>
      <c r="E63" s="76"/>
      <c r="F63" s="76"/>
      <c r="G63" s="76"/>
      <c r="H63" s="76"/>
      <c r="I63" s="76"/>
    </row>
    <row r="64" spans="1:9" ht="15">
      <c r="A64" s="76"/>
      <c r="B64" s="76"/>
      <c r="C64" s="76"/>
      <c r="D64" s="76"/>
      <c r="E64" s="76"/>
      <c r="F64" s="76"/>
      <c r="G64" s="76"/>
      <c r="H64" s="76"/>
      <c r="I64" s="76"/>
    </row>
    <row r="65" spans="1:9" ht="15">
      <c r="A65" s="76"/>
      <c r="B65" s="76"/>
      <c r="C65" s="76"/>
      <c r="D65" s="76"/>
      <c r="E65" s="76"/>
      <c r="F65" s="76"/>
      <c r="G65" s="76"/>
      <c r="H65" s="76"/>
      <c r="I65" s="76"/>
    </row>
    <row r="66" spans="1:9" ht="15">
      <c r="A66" s="76"/>
      <c r="B66" s="76"/>
      <c r="C66" s="76"/>
      <c r="D66" s="76"/>
      <c r="E66" s="76"/>
      <c r="F66" s="76"/>
      <c r="G66" s="76"/>
      <c r="H66" s="76"/>
      <c r="I66" s="76"/>
    </row>
    <row r="67" spans="1:9" ht="15">
      <c r="A67" s="76"/>
      <c r="B67" s="76"/>
      <c r="C67" s="76"/>
      <c r="D67" s="76"/>
      <c r="E67" s="76"/>
      <c r="F67" s="76"/>
      <c r="G67" s="76"/>
      <c r="H67" s="76"/>
      <c r="I67" s="76"/>
    </row>
    <row r="68" spans="1:9" ht="15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5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15">
      <c r="A70" s="76"/>
      <c r="B70" s="76"/>
      <c r="C70" s="76"/>
      <c r="D70" s="76"/>
      <c r="E70" s="76"/>
      <c r="F70" s="76"/>
      <c r="G70" s="76"/>
      <c r="H70" s="76"/>
      <c r="I70" s="76"/>
    </row>
    <row r="71" spans="1:9" ht="15">
      <c r="A71" s="76"/>
      <c r="B71" s="76"/>
      <c r="C71" s="76"/>
      <c r="D71" s="76"/>
      <c r="E71" s="76"/>
      <c r="F71" s="76"/>
      <c r="G71" s="76"/>
      <c r="H71" s="76"/>
      <c r="I71" s="76"/>
    </row>
    <row r="72" spans="1:9" ht="15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5">
      <c r="A73" s="76"/>
      <c r="B73" s="76"/>
      <c r="C73" s="76"/>
      <c r="D73" s="76"/>
      <c r="E73" s="76"/>
      <c r="F73" s="76"/>
      <c r="G73" s="76"/>
      <c r="H73" s="76"/>
      <c r="I73" s="76"/>
    </row>
    <row r="74" spans="1:9" ht="15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5">
      <c r="A75" s="76"/>
      <c r="B75" s="76"/>
      <c r="C75" s="76"/>
      <c r="D75" s="76"/>
      <c r="E75" s="76"/>
      <c r="F75" s="76"/>
      <c r="G75" s="76"/>
      <c r="H75" s="76"/>
      <c r="I75" s="76"/>
    </row>
    <row r="76" spans="1:9" ht="15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15">
      <c r="A77" s="76"/>
      <c r="B77" s="76"/>
      <c r="C77" s="76"/>
      <c r="D77" s="76"/>
      <c r="E77" s="76"/>
      <c r="F77" s="76"/>
      <c r="G77" s="76"/>
      <c r="H77" s="76"/>
      <c r="I77" s="76"/>
    </row>
    <row r="78" spans="1:9" ht="15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5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5">
      <c r="A80" s="76"/>
      <c r="B80" s="76"/>
      <c r="C80" s="76"/>
      <c r="D80" s="76"/>
      <c r="E80" s="76"/>
      <c r="F80" s="76"/>
      <c r="G80" s="76"/>
      <c r="H80" s="76"/>
      <c r="I80" s="76"/>
    </row>
    <row r="81" spans="1:18" ht="15">
      <c r="A81" s="76"/>
      <c r="B81" s="76"/>
      <c r="C81" s="76"/>
      <c r="D81" s="76"/>
      <c r="E81" s="76"/>
      <c r="F81" s="76"/>
      <c r="G81" s="76"/>
      <c r="H81" s="76"/>
      <c r="I81" s="76"/>
    </row>
    <row r="82" spans="1:18" ht="15">
      <c r="A82" s="76"/>
      <c r="B82" s="76"/>
      <c r="C82" s="76"/>
      <c r="D82" s="76"/>
      <c r="E82" s="76"/>
      <c r="F82" s="76"/>
      <c r="G82" s="76"/>
      <c r="H82" s="76"/>
      <c r="I82" s="76"/>
    </row>
    <row r="83" spans="1:18" ht="15">
      <c r="A83" s="76"/>
      <c r="B83" s="76"/>
      <c r="C83" s="76"/>
      <c r="D83" s="76"/>
      <c r="E83" s="76"/>
      <c r="F83" s="76"/>
      <c r="G83" s="76"/>
      <c r="H83" s="76"/>
      <c r="I83" s="76"/>
    </row>
    <row r="84" spans="1:18" ht="15">
      <c r="A84" s="76"/>
      <c r="B84" s="76"/>
      <c r="C84" s="76"/>
      <c r="D84" s="76"/>
      <c r="E84" s="76"/>
      <c r="F84" s="76"/>
      <c r="G84" s="76"/>
      <c r="H84" s="76"/>
      <c r="I84" s="76"/>
    </row>
    <row r="85" spans="1:18" ht="15">
      <c r="A85" s="76"/>
      <c r="B85" s="76"/>
      <c r="C85" s="76"/>
      <c r="D85" s="76"/>
      <c r="E85" s="76"/>
      <c r="F85" s="76"/>
      <c r="G85" s="76"/>
      <c r="H85" s="76"/>
      <c r="I85" s="76"/>
    </row>
    <row r="86" spans="1:18" ht="15">
      <c r="A86" s="76"/>
      <c r="B86" s="76"/>
      <c r="C86" s="76"/>
      <c r="D86" s="76"/>
      <c r="E86" s="76"/>
      <c r="F86" s="76"/>
      <c r="G86" s="76"/>
      <c r="H86" s="76"/>
      <c r="I86" s="76"/>
    </row>
    <row r="87" spans="1:18" ht="15">
      <c r="A87" s="76"/>
      <c r="B87" s="76"/>
      <c r="C87" s="76"/>
      <c r="D87" s="76"/>
      <c r="E87" s="76"/>
      <c r="F87" s="76"/>
      <c r="G87" s="76"/>
      <c r="H87" s="76"/>
      <c r="I87" s="76"/>
    </row>
    <row r="88" spans="1:18" ht="15">
      <c r="A88" s="76"/>
      <c r="B88" s="76"/>
      <c r="C88" s="76"/>
      <c r="D88" s="76"/>
      <c r="E88" s="76"/>
      <c r="F88" s="76"/>
      <c r="G88" s="76"/>
      <c r="H88" s="76"/>
      <c r="I88" s="76"/>
    </row>
    <row r="89" spans="1:18" ht="15">
      <c r="A89" s="76"/>
      <c r="B89" s="76"/>
      <c r="C89" s="76"/>
      <c r="D89" s="76"/>
      <c r="E89" s="76"/>
      <c r="F89" s="76"/>
      <c r="G89" s="76"/>
      <c r="H89" s="76"/>
      <c r="I89" s="76"/>
    </row>
    <row r="90" spans="1:18" ht="15">
      <c r="A90" s="76"/>
      <c r="B90" s="76"/>
      <c r="C90" s="76"/>
      <c r="D90" s="76"/>
      <c r="E90" s="76"/>
      <c r="F90" s="76"/>
      <c r="G90" s="76"/>
      <c r="H90" s="76"/>
      <c r="I90" s="76"/>
    </row>
    <row r="91" spans="1:18" ht="15">
      <c r="A91" s="76"/>
      <c r="B91" s="76"/>
      <c r="C91" s="76"/>
      <c r="D91" s="76"/>
      <c r="E91" s="76"/>
      <c r="F91" s="76"/>
      <c r="G91" s="76"/>
      <c r="H91" s="76"/>
      <c r="I91" s="76"/>
    </row>
    <row r="92" spans="1:18" ht="15">
      <c r="A92" s="76"/>
      <c r="B92" s="76"/>
      <c r="C92" s="76"/>
      <c r="D92" s="76"/>
      <c r="E92" s="76"/>
      <c r="F92" s="76"/>
      <c r="G92" s="76"/>
      <c r="H92" s="76"/>
      <c r="I92" s="76"/>
      <c r="M92" s="158"/>
      <c r="O92" s="158"/>
      <c r="P92" s="158"/>
      <c r="Q92" s="158"/>
      <c r="R92" s="158"/>
    </row>
    <row r="93" spans="1:18" ht="15">
      <c r="A93" s="76"/>
      <c r="B93" s="76"/>
      <c r="C93" s="76"/>
      <c r="D93" s="76"/>
      <c r="E93" s="76"/>
      <c r="F93" s="76"/>
      <c r="G93" s="76"/>
      <c r="H93" s="76"/>
      <c r="I93" s="76"/>
      <c r="J93" s="158"/>
    </row>
    <row r="94" spans="1:18" ht="15">
      <c r="A94" s="76"/>
      <c r="B94" s="76"/>
      <c r="C94" s="76"/>
      <c r="D94" s="76"/>
      <c r="E94" s="76"/>
      <c r="F94" s="76"/>
      <c r="G94" s="76"/>
      <c r="H94" s="76"/>
      <c r="I94" s="76"/>
      <c r="M94" s="158"/>
      <c r="O94" s="158"/>
      <c r="P94" s="158"/>
      <c r="Q94" s="158"/>
      <c r="R94" s="158"/>
    </row>
    <row r="95" spans="1:18" ht="15">
      <c r="A95" s="76"/>
      <c r="B95" s="76"/>
      <c r="C95" s="76"/>
      <c r="D95" s="76"/>
      <c r="E95" s="76"/>
      <c r="F95" s="76"/>
      <c r="G95" s="76"/>
      <c r="H95" s="76"/>
      <c r="I95" s="76"/>
    </row>
    <row r="96" spans="1:18" ht="15">
      <c r="A96" s="76"/>
      <c r="B96" s="76"/>
      <c r="C96" s="76"/>
      <c r="D96" s="76"/>
      <c r="E96" s="76"/>
      <c r="F96" s="76"/>
      <c r="G96" s="76"/>
      <c r="H96" s="76"/>
      <c r="I96" s="76"/>
    </row>
    <row r="97" spans="1:9" ht="15">
      <c r="A97" s="76"/>
      <c r="B97" s="76"/>
      <c r="C97" s="76"/>
      <c r="D97" s="76"/>
      <c r="E97" s="76"/>
      <c r="F97" s="76"/>
      <c r="G97" s="76"/>
      <c r="H97" s="76"/>
      <c r="I97" s="76"/>
    </row>
    <row r="98" spans="1:9" ht="15">
      <c r="A98" s="76"/>
      <c r="B98" s="76"/>
      <c r="C98" s="76"/>
      <c r="D98" s="76"/>
      <c r="E98" s="76"/>
      <c r="F98" s="76"/>
      <c r="G98" s="76"/>
      <c r="H98" s="76"/>
      <c r="I98" s="76"/>
    </row>
    <row r="99" spans="1:9" ht="15">
      <c r="A99" s="76"/>
      <c r="B99" s="76"/>
      <c r="C99" s="76"/>
      <c r="D99" s="76"/>
      <c r="E99" s="76"/>
      <c r="F99" s="76"/>
      <c r="G99" s="76"/>
      <c r="H99" s="76"/>
      <c r="I99" s="76"/>
    </row>
    <row r="100" spans="1:9" ht="15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9" ht="15">
      <c r="A101" s="76"/>
      <c r="B101" s="76"/>
      <c r="C101" s="76"/>
      <c r="D101" s="76"/>
      <c r="E101" s="76"/>
      <c r="F101" s="76"/>
      <c r="G101" s="76"/>
      <c r="H101" s="76"/>
      <c r="I101" s="76"/>
    </row>
    <row r="119" spans="7:8">
      <c r="G119" s="33" t="s">
        <v>200</v>
      </c>
      <c r="H119" s="33">
        <f>+J188</f>
        <v>0</v>
      </c>
    </row>
    <row r="120" spans="7:8">
      <c r="H120" s="33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2019-04-05T14:41:30Z</cp:lastPrinted>
  <dcterms:created xsi:type="dcterms:W3CDTF">1997-04-03T19:40:56Z</dcterms:created>
  <dcterms:modified xsi:type="dcterms:W3CDTF">2020-05-29T19:21:59Z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