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FERC Compliance\OASIS\BHBE OASIS HOMEPAGE\5 - BHBE JOATT\ATRR Projected Net Revenue Requirement\"/>
    </mc:Choice>
  </mc:AlternateContent>
  <xr:revisionPtr revIDLastSave="0" documentId="8_{8987CDB1-EDBA-4250-8D3A-43FD3AD4C8F2}" xr6:coauthVersionLast="46" xr6:coauthVersionMax="46" xr10:uidLastSave="{00000000-0000-0000-0000-000000000000}"/>
  <bookViews>
    <workbookView xWindow="28680" yWindow="-120" windowWidth="29040" windowHeight="1764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Additions'!$B$1:$G$59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41" l="1"/>
  <c r="H33" i="41"/>
  <c r="H32" i="41"/>
  <c r="H31" i="41"/>
  <c r="J184" i="35"/>
  <c r="E102" i="35"/>
  <c r="B60" i="42" l="1"/>
  <c r="D57" i="42"/>
  <c r="D55" i="42"/>
  <c r="D54" i="42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6" i="35" l="1"/>
  <c r="E90" i="35" l="1"/>
  <c r="E61" i="35" s="1"/>
  <c r="J140" i="35" l="1"/>
  <c r="J158" i="35"/>
  <c r="J58" i="35"/>
  <c r="F56" i="37"/>
  <c r="F12" i="41"/>
  <c r="E41" i="37"/>
  <c r="E40" i="37"/>
  <c r="E39" i="37"/>
  <c r="E38" i="37"/>
  <c r="E37" i="37"/>
  <c r="E36" i="37"/>
  <c r="E35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E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E32" i="37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3" i="42"/>
  <c r="H114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/>
  <c r="R41" i="37" l="1"/>
  <c r="R40" i="37"/>
  <c r="E43" i="35"/>
  <c r="E65" i="35"/>
  <c r="E42" i="37"/>
  <c r="J34" i="35"/>
  <c r="J46" i="35" s="1"/>
  <c r="I42" i="37"/>
  <c r="L42" i="37"/>
  <c r="H42" i="37"/>
  <c r="J42" i="37"/>
  <c r="E42" i="35"/>
  <c r="E180" i="35" s="1"/>
  <c r="E28" i="42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8" i="35"/>
  <c r="E199" i="35" s="1"/>
  <c r="F197" i="35" s="1"/>
  <c r="J197" i="35" s="1"/>
  <c r="J199" i="35" s="1"/>
  <c r="E113" i="35" s="1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/>
  <c r="A100" i="35" s="1"/>
  <c r="A101" i="35" s="1"/>
  <c r="A102" i="35" s="1"/>
  <c r="C98" i="35"/>
  <c r="A21" i="37" l="1"/>
  <c r="A103" i="35"/>
  <c r="A104" i="35" s="1"/>
  <c r="A105" i="35" s="1"/>
  <c r="A106" i="35" s="1"/>
  <c r="A107" i="35" s="1"/>
  <c r="A108" i="35" s="1"/>
  <c r="B55" i="42"/>
  <c r="C108" i="35" l="1"/>
  <c r="A109" i="35"/>
  <c r="A110" i="35" s="1"/>
  <c r="A111" i="35" s="1"/>
  <c r="A112" i="35" s="1"/>
  <c r="A113" i="35" s="1"/>
  <c r="B56" i="42"/>
  <c r="B57" i="42" s="1"/>
  <c r="B58" i="42" s="1"/>
  <c r="B59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102" i="35"/>
  <c r="H103" i="35"/>
  <c r="J103" i="35" s="1"/>
  <c r="J17" i="35"/>
  <c r="H18" i="35"/>
  <c r="J18" i="35" s="1"/>
  <c r="J41" i="35" s="1"/>
  <c r="J94" i="35" l="1"/>
  <c r="H31" i="35"/>
  <c r="J31" i="35" s="1"/>
  <c r="J20" i="35"/>
  <c r="F28" i="42"/>
  <c r="E29" i="42"/>
  <c r="H32" i="35"/>
  <c r="J32" i="35" s="1"/>
  <c r="J44" i="35" s="1"/>
  <c r="J43" i="35" l="1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F34" i="41"/>
  <c r="F38" i="37"/>
  <c r="F22" i="37"/>
  <c r="R18" i="37"/>
  <c r="R38" i="37" l="1"/>
  <c r="F42" i="37"/>
  <c r="R22" i="37"/>
  <c r="R4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<sst xmlns="http://schemas.openxmlformats.org/spreadsheetml/2006/main" count="632" uniqueCount="400">
  <si>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</si>
  <si>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</si>
  <si>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</si>
  <si>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</si>
  <si>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</si>
  <si>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</si>
  <si>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</si>
  <si>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</si>
  <si>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</si>
  <si>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</si>
  <si>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</si>
  <si>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</si>
  <si>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</si>
  <si>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</si>
  <si>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</si>
  <si>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</si>
  <si>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</si>
  <si>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</si>
  <si>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</si>
  <si>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</si>
  <si>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</si>
  <si>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</si>
  <si>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</si>
  <si>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</si>
  <si>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</si>
  <si>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</si>
  <si>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</si>
  <si>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</si>
  <si>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</si>
  <si>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</si>
  <si>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</si>
  <si>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</si>
  <si>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</si>
  <si>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</si>
  <si>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</si>
  <si>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</si>
  <si>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</si>
  <si>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</si>
  <si>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</si>
  <si>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</si>
  <si>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</si>
  <si>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</si>
  <si>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</si>
  <si>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</si>
  <si>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</si>
  <si>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</si>
  <si>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</si>
  <si>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</si>
  <si>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</si>
  <si>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</si>
  <si>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</si>
  <si>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</si>
  <si>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</si>
  <si>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</si>
  <si>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</si>
  <si>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</si>
  <si>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</si>
  <si>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</si>
  <si>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</si>
  <si>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</si>
  <si>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</si>
  <si>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</si>
  <si>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</si>
  <si>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</si>
  <si>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</si>
  <si>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</si>
  <si>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</si>
  <si>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</si>
  <si>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</si>
  <si>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</si>
  <si>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</si>
  <si>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</si>
  <si>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</si>
  <si>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</si>
  <si>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</si>
  <si>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</si>
  <si>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</si>
  <si>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</si>
  <si>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</si>
  <si>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</si>
  <si>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</si>
  <si>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</si>
  <si>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</si>
  <si>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</si>
  <si>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</si>
  <si>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</si>
  <si>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</si>
  <si>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</si>
  <si>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</si>
  <si>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</si>
  <si>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</si>
  <si>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</si>
  <si>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</si>
  <si>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</si>
  <si>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</si>
  <si>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</si>
  <si>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</si>
  <si>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</si>
  <si>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</si>
  <si>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</si>
  <si>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</si>
  <si>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</si>
  <si>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</si>
  <si>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</si>
  <si>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</si>
  <si>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</si>
  <si>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</si>
  <si>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</si>
  <si>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</si>
  <si>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</si>
  <si>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</si>
  <si>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</si>
  <si>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</si>
  <si>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</si>
  <si>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</si>
  <si>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</si>
  <si>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</si>
  <si>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</si>
  <si>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</si>
  <si>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</si>
  <si>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</si>
  <si>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</si>
  <si>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</si>
  <si>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</si>
  <si>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</si>
  <si>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</si>
  <si>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</si>
  <si>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</si>
  <si>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</si>
  <si>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</si>
  <si>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</si>
  <si>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</si>
  <si>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</si>
  <si>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</si>
  <si>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</si>
  <si>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</si>
  <si>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</si>
  <si>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</si>
  <si>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</si>
  <si>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</si>
  <si>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</si>
  <si>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</si>
  <si>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</si>
  <si>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</si>
  <si>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</si>
  <si>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</si>
  <si>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</si>
  <si>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</si>
  <si>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</si>
  <si>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</si>
  <si>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</si>
  <si>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</si>
  <si>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</si>
  <si>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</si>
  <si>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</si>
  <si>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</si>
  <si>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</si>
  <si>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</si>
  <si>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</si>
  <si>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</si>
  <si>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</si>
  <si>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</si>
  <si>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</si>
  <si>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</si>
  <si>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</si>
  <si>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</si>
  <si>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</si>
  <si>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</si>
  <si>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</si>
  <si>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</si>
  <si>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</si>
  <si>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</si>
  <si>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</si>
  <si>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</si>
  <si>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</si>
  <si>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</si>
  <si>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</si>
  <si>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</si>
  <si>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</si>
  <si>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</si>
  <si>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</si>
  <si>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</si>
  <si>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</si>
  <si>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</si>
  <si>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</si>
  <si>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</si>
  <si>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</si>
  <si>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</si>
  <si>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</si>
  <si>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</si>
  <si>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</si>
  <si>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</si>
  <si>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</si>
  <si>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</si>
  <si>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</si>
  <si>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</si>
  <si>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</si>
  <si>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</si>
  <si>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</si>
  <si>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</si>
  <si>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</si>
  <si>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</si>
  <si>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</si>
  <si>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</si>
  <si>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</si>
  <si>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</si>
  <si>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</si>
  <si>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</si>
  <si>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</si>
  <si>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</si>
  <si>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</si>
  <si>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</si>
  <si>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</si>
  <si>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</si>
  <si>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</si>
  <si>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</si>
  <si>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</si>
  <si>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</si>
  <si>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</si>
  <si>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</si>
  <si>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</si>
  <si>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</si>
  <si>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</si>
  <si>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</si>
  <si>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</si>
  <si>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</si>
  <si>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</si>
  <si>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</si>
  <si>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</si>
  <si>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</si>
  <si>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</si>
  <si>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</si>
  <si>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</si>
  <si>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</si>
  <si>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</si>
  <si>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</si>
  <si>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</si>
  <si>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</si>
  <si>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</si>
  <si>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</si>
  <si>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</si>
  <si>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</si>
  <si>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</si>
  <si>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</si>
  <si>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</si>
  <si>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</si>
  <si>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</si>
  <si>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</si>
  <si>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</si>
  <si>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</si>
  <si>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</si>
  <si>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</si>
  <si>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</si>
  <si>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</si>
  <si>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</si>
  <si>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</si>
  <si>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</si>
  <si>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</si>
  <si>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</si>
  <si>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</si>
  <si>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</si>
  <si>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</si>
  <si>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</si>
  <si>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</si>
  <si>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</si>
  <si>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</si>
  <si>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</si>
  <si>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</si>
  <si>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</si>
  <si>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</si>
  <si>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</si>
  <si>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</si>
  <si>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</si>
  <si>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</si>
  <si>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</si>
  <si>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</si>
  <si>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</si>
  <si>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</si>
  <si>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</si>
  <si>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</si>
  <si>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</si>
  <si>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</si>
  <si>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</si>
  <si>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</si>
  <si>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</si>
  <si>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</si>
  <si>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</si>
  <si>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</si>
  <si>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</si>
  <si>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</si>
  <si>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</si>
  <si>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</si>
  <si>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</si>
  <si>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</si>
  <si>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</si>
  <si>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</si>
  <si>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</si>
  <si>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</si>
  <si>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</si>
  <si>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</si>
  <si>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</si>
  <si>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</si>
  <si>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</si>
  <si>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</si>
  <si>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</si>
  <si>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</si>
  <si>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</si>
  <si>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</si>
  <si>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</si>
  <si>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</si>
  <si>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</si>
  <si>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</si>
  <si>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</si>
  <si>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</si>
  <si>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</si>
  <si>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</si>
  <si>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</si>
  <si>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</si>
  <si>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</si>
  <si>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</si>
  <si>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</si>
  <si>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</si>
  <si>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</si>
  <si>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</si>
  <si>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</si>
  <si>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</si>
  <si>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</si>
  <si>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</si>
  <si>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</si>
  <si>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</si>
  <si>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</si>
  <si>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</si>
  <si>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</si>
  <si>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</si>
  <si>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</si>
  <si>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</si>
  <si>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</si>
  <si>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</si>
  <si>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</si>
  <si>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</si>
  <si>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</si>
  <si>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</si>
  <si>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</si>
  <si>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</si>
  <si>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</si>
  <si>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</si>
  <si>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</si>
  <si>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</si>
  <si>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</si>
  <si>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</si>
  <si>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</si>
  <si>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</si>
  <si>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</si>
  <si>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</si>
  <si>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</si>
  <si>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</si>
  <si>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</si>
  <si>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</si>
  <si>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</si>
  <si>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</si>
  <si>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</si>
  <si>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</si>
  <si>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</si>
  <si>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</si>
  <si>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</si>
  <si>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</si>
  <si>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</si>
  <si>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</si>
  <si>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</si>
  <si>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</si>
  <si>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</si>
  <si>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</si>
  <si>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</si>
  <si>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</si>
  <si>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</si>
  <si>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</si>
  <si>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</si>
  <si>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</si>
  <si>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</si>
  <si>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</si>
  <si>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</si>
  <si>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</si>
  <si>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1 - Transmission actual load from OATI through June 2020.  Starting July 2020, actual load from Hartigen.</t>
  </si>
  <si>
    <r>
      <t>2021 Actual Load Data</t>
    </r>
    <r>
      <rPr>
        <b/>
        <vertAlign val="superscript"/>
        <sz val="12"/>
        <rFont val="Arial"/>
        <family val="2"/>
      </rPr>
      <t>1</t>
    </r>
  </si>
  <si>
    <r>
      <t>2022 Projected Load Data</t>
    </r>
    <r>
      <rPr>
        <b/>
        <vertAlign val="superscript"/>
        <sz val="12"/>
        <rFont val="Arial"/>
        <family val="2"/>
      </rPr>
      <t>2</t>
    </r>
  </si>
  <si>
    <t>Total 2021 CUS Transmission Assets Place in Service</t>
  </si>
  <si>
    <t>Transmission Accumulated Depreciation for 2021 &amp; 2022</t>
  </si>
  <si>
    <t xml:space="preserve">Jan-21 - See line 2 col 5 of Estimate </t>
  </si>
  <si>
    <t>Subtotal of 2021 Increase for Accumulated Depreciation</t>
  </si>
  <si>
    <t>See WP3 for additional information on 2022 Transmission Additions</t>
  </si>
  <si>
    <t>Note 1: The capital additions in April 2021 (line 6) are for the 230KV Lange to SRC Line.</t>
  </si>
  <si>
    <t>Note 2: The capital additions in December 2021 (line 14) are for the 230KV Lange to Lookout Line.</t>
  </si>
  <si>
    <t>2022 Weighted Average Plant in Service Additions for projects over $1,000,000</t>
  </si>
  <si>
    <t>Note 2: The capital additions in December 2022 (line 17) are for the 230 KV Bill Durfee to Hughes and the 230 KV Fall River Solar Interconnect.</t>
  </si>
  <si>
    <t>12/31/19 &amp; 12/31/20 average balance</t>
  </si>
  <si>
    <t>BHP-11 Page 1 
Date: September 30, 2021</t>
  </si>
  <si>
    <t>FOR RATES EFFECTIVE JANUARY 1, 2022</t>
  </si>
  <si>
    <t>Amount based on actual calendar year 2020</t>
  </si>
  <si>
    <t>Projected 2022 Load</t>
  </si>
  <si>
    <t>Note 1: The capital additions in August 2022 (line 13) are for 230 KV Lookout to Bill Durfee.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</si>
</sst>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0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33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 applyFill="1"/>
    <xf numFmtId="43" fontId="6" fillId="0" borderId="0" xfId="105"/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3" fontId="3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9" fillId="31" borderId="0" xfId="165" applyFont="1" applyFill="1"/>
    <xf numFmtId="0" fontId="6" fillId="31" borderId="0" xfId="165" applyFill="1"/>
    <xf numFmtId="0" fontId="6" fillId="31" borderId="0" xfId="165" applyFont="1" applyFill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4" xfId="105" applyNumberFormat="1" applyFont="1" applyBorder="1" applyAlignment="1">
      <alignment horizontal="center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1" fontId="6" fillId="30" borderId="24" xfId="163" applyNumberFormat="1" applyFill="1" applyBorder="1" applyAlignment="1">
      <alignment horizontal="center"/>
    </xf>
    <xf numFmtId="0" fontId="6" fillId="30" borderId="34" xfId="163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0" fontId="6" fillId="30" borderId="35" xfId="163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0" fontId="6" fillId="30" borderId="36" xfId="163" applyFill="1" applyBorder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 applyFill="1"/>
    <xf numFmtId="0" fontId="3" fillId="0" borderId="4" xfId="0" applyNumberFormat="1" applyFont="1" applyFill="1" applyBorder="1" applyAlignment="1"/>
    <xf numFmtId="172" fontId="35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0" fontId="3" fillId="0" borderId="0" xfId="166" applyFont="1" applyFill="1" applyAlignment="1">
      <alignment horizontal="left"/>
    </xf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2" borderId="0" xfId="0" applyNumberFormat="1" applyFont="1" applyFill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3" fontId="3" fillId="32" borderId="4" xfId="0" applyNumberFormat="1" applyFont="1" applyFill="1" applyBorder="1" applyAlignment="1"/>
    <xf numFmtId="3" fontId="81" fillId="0" borderId="0" xfId="0" applyNumberFormat="1" applyFont="1" applyFill="1" applyAlignment="1"/>
    <xf numFmtId="173" fontId="3" fillId="32" borderId="0" xfId="105" applyNumberFormat="1" applyFont="1" applyFill="1" applyBorder="1" applyAlignment="1"/>
    <xf numFmtId="10" fontId="3" fillId="32" borderId="0" xfId="173" applyNumberFormat="1" applyFont="1" applyFill="1" applyAlignment="1"/>
    <xf numFmtId="176" fontId="6" fillId="31" borderId="0" xfId="165" applyNumberFormat="1" applyFill="1"/>
    <xf numFmtId="44" fontId="6" fillId="0" borderId="0" xfId="166" applyNumberFormat="1" applyFill="1"/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2" borderId="4" xfId="105" applyNumberFormat="1" applyFont="1" applyFill="1" applyBorder="1" applyAlignment="1"/>
    <xf numFmtId="10" fontId="3" fillId="32" borderId="0" xfId="0" applyNumberFormat="1" applyFont="1" applyFill="1" applyProtection="1">
      <protection locked="0"/>
    </xf>
    <xf numFmtId="3" fontId="81" fillId="32" borderId="0" xfId="0" applyNumberFormat="1" applyFont="1" applyFill="1" applyAlignment="1"/>
    <xf numFmtId="3" fontId="3" fillId="32" borderId="6" xfId="0" applyNumberFormat="1" applyFont="1" applyFill="1" applyBorder="1" applyAlignment="1"/>
    <xf numFmtId="0" fontId="6" fillId="32" borderId="3" xfId="165" applyFont="1" applyFill="1" applyBorder="1" applyAlignment="1">
      <alignment horizontal="center" wrapText="1"/>
    </xf>
    <xf numFmtId="173" fontId="3" fillId="32" borderId="6" xfId="105" applyNumberFormat="1" applyFont="1" applyFill="1" applyBorder="1" applyAlignment="1"/>
    <xf numFmtId="201" fontId="0" fillId="32" borderId="0" xfId="0" applyNumberFormat="1" applyFill="1" applyAlignment="1">
      <alignment horizontal="right"/>
    </xf>
    <xf numFmtId="0" fontId="3" fillId="32" borderId="0" xfId="0" applyNumberFormat="1" applyFont="1" applyFill="1"/>
    <xf numFmtId="174" fontId="6" fillId="32" borderId="0" xfId="111" applyNumberFormat="1" applyFont="1" applyFill="1"/>
    <xf numFmtId="0" fontId="83" fillId="0" borderId="0" xfId="166" applyFont="1"/>
    <xf numFmtId="172" fontId="84" fillId="0" borderId="0" xfId="0" applyFont="1" applyFill="1" applyAlignment="1"/>
    <xf numFmtId="0" fontId="85" fillId="0" borderId="0" xfId="166" applyFont="1"/>
    <xf numFmtId="42" fontId="6" fillId="0" borderId="0" xfId="165" applyNumberFormat="1" applyFill="1"/>
    <xf numFmtId="42" fontId="6" fillId="0" borderId="3" xfId="165" applyNumberFormat="1" applyFill="1" applyBorder="1"/>
    <xf numFmtId="0" fontId="85" fillId="0" borderId="0" xfId="163" applyFont="1"/>
    <xf numFmtId="1" fontId="6" fillId="0" borderId="0" xfId="163" applyNumberFormat="1"/>
    <xf numFmtId="1" fontId="6" fillId="0" borderId="0" xfId="163" applyNumberFormat="1" applyAlignment="1">
      <alignment horizontal="left"/>
    </xf>
    <xf numFmtId="0" fontId="85" fillId="0" borderId="0" xfId="165" applyFont="1"/>
    <xf numFmtId="172" fontId="86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172" fontId="1" fillId="0" borderId="0" xfId="0" applyFont="1" applyFill="1" applyAlignment="1">
      <alignment horizontal="right"/>
    </xf>
    <xf numFmtId="172" fontId="1" fillId="0" borderId="0" xfId="0" applyFont="1" applyFill="1" applyAlignment="1"/>
    <xf numFmtId="172" fontId="15" fillId="0" borderId="0" xfId="0" applyFont="1" applyFill="1" applyAlignment="1"/>
    <xf numFmtId="172" fontId="82" fillId="0" borderId="0" xfId="0" applyFont="1" applyFill="1" applyAlignment="1"/>
    <xf numFmtId="43" fontId="0" fillId="0" borderId="0" xfId="105" applyFont="1" applyFill="1" applyAlignment="1"/>
    <xf numFmtId="3" fontId="3" fillId="0" borderId="0" xfId="0" applyNumberFormat="1" applyFont="1" applyFill="1" applyAlignment="1">
      <alignment horizontal="fill"/>
    </xf>
    <xf numFmtId="3" fontId="82" fillId="0" borderId="0" xfId="0" applyNumberFormat="1" applyFont="1" applyFill="1" applyAlignment="1"/>
    <xf numFmtId="43" fontId="3" fillId="0" borderId="0" xfId="105" applyFont="1" applyFill="1" applyAlignment="1">
      <alignment horizontal="center"/>
    </xf>
    <xf numFmtId="0" fontId="3" fillId="0" borderId="0" xfId="0" applyNumberFormat="1" applyFont="1" applyFill="1" applyAlignment="1">
      <alignment horizontal="fill"/>
    </xf>
    <xf numFmtId="3" fontId="36" fillId="0" borderId="0" xfId="0" applyNumberFormat="1" applyFont="1" applyFill="1" applyAlignment="1"/>
    <xf numFmtId="43" fontId="85" fillId="0" borderId="0" xfId="165" applyNumberFormat="1" applyFont="1"/>
    <xf numFmtId="0" fontId="9" fillId="0" borderId="0" xfId="165" applyFont="1" applyAlignment="1">
      <alignment horizontal="center"/>
    </xf>
    <xf numFmtId="0" fontId="6" fillId="31" borderId="0" xfId="165" applyFill="1" applyAlignment="1">
      <alignment horizontal="left" wrapText="1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7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>
      <selection activeCell="H31" sqref="H31"/>
    </sheetView>
  </sheetViews>
  <sheetFormatPr defaultColWidth="7.109375" defaultRowHeight="12.75"/>
  <cols>
    <col min="1" max="1" width="3.88671875" style="5" customWidth="1"/>
    <col min="2" max="2" width="9.6640625" style="6" customWidth="1"/>
    <col min="3" max="3" width="6.88671875" style="6" customWidth="1"/>
    <col min="4" max="4" width="11.5546875" style="6" customWidth="1"/>
    <col min="5" max="5" width="11.5546875" style="6" bestFit="1" customWidth="1"/>
    <col min="6" max="6" width="12.109375" style="6" customWidth="1"/>
    <col min="7" max="7" width="8.88671875" style="6" bestFit="1" customWidth="1"/>
    <col min="8" max="8" width="9.5546875" style="6" bestFit="1" customWidth="1"/>
    <col min="9" max="9" width="7.109375" style="6" customWidth="1"/>
    <col min="10" max="10" width="8.88671875" style="6" bestFit="1" customWidth="1"/>
    <col min="11" max="11" width="7.109375" style="6" customWidth="1"/>
    <col min="12" max="12" width="11.44140625" style="6" customWidth="1"/>
    <col min="13" max="16384" width="7.109375" style="6"/>
  </cols>
  <sheetData>
    <row r="1" spans="1:14" ht="27" customHeight="1">
      <c r="G1" s="318" t="s">
        <v>395</v>
      </c>
      <c r="H1" s="318"/>
      <c r="N1" s="302"/>
    </row>
    <row r="2" spans="1:14">
      <c r="G2" s="53"/>
      <c r="H2" s="54"/>
      <c r="I2" s="54"/>
      <c r="J2" s="54"/>
    </row>
    <row r="3" spans="1:14" ht="15" customHeight="1">
      <c r="A3" s="317" t="s">
        <v>273</v>
      </c>
      <c r="B3" s="317"/>
      <c r="C3" s="317"/>
      <c r="D3" s="317"/>
      <c r="E3" s="317"/>
      <c r="F3" s="317"/>
      <c r="G3" s="317"/>
      <c r="H3" s="317"/>
    </row>
    <row r="4" spans="1:14" ht="15" customHeight="1">
      <c r="A4" s="317" t="s">
        <v>43</v>
      </c>
      <c r="B4" s="317"/>
      <c r="C4" s="317"/>
      <c r="D4" s="317"/>
      <c r="E4" s="317"/>
      <c r="F4" s="317"/>
      <c r="G4" s="317"/>
      <c r="H4" s="317"/>
    </row>
    <row r="6" spans="1:14">
      <c r="A6" s="7" t="s">
        <v>38</v>
      </c>
    </row>
    <row r="8" spans="1:14">
      <c r="A8" s="5">
        <v>1</v>
      </c>
      <c r="B8" s="26" t="s">
        <v>80</v>
      </c>
      <c r="D8" s="53"/>
      <c r="E8" s="54"/>
      <c r="G8" s="26"/>
      <c r="H8" s="293">
        <v>631954</v>
      </c>
      <c r="I8" s="53" t="s">
        <v>397</v>
      </c>
      <c r="K8" s="54"/>
      <c r="N8" s="302"/>
    </row>
    <row r="9" spans="1:14">
      <c r="G9" s="26"/>
      <c r="H9" s="26"/>
    </row>
    <row r="10" spans="1:14" ht="39" thickBot="1">
      <c r="D10" s="8" t="str">
        <f>+B20</f>
        <v>Entity</v>
      </c>
      <c r="E10" s="9"/>
      <c r="F10" s="48" t="s">
        <v>114</v>
      </c>
      <c r="G10" s="108" t="s">
        <v>192</v>
      </c>
      <c r="H10" s="48" t="s">
        <v>275</v>
      </c>
    </row>
    <row r="11" spans="1:14">
      <c r="D11" s="5"/>
      <c r="F11" s="11"/>
      <c r="G11" s="109"/>
      <c r="H11" s="110"/>
    </row>
    <row r="12" spans="1:14">
      <c r="A12" s="5">
        <v>2</v>
      </c>
      <c r="D12" s="6" t="s">
        <v>276</v>
      </c>
      <c r="F12" s="49">
        <f>+L22</f>
        <v>29.596246531096366</v>
      </c>
      <c r="G12" s="111">
        <f>+F12/F$15</f>
        <v>0.61720206923785359</v>
      </c>
      <c r="H12" s="112">
        <f>+H$8*G12</f>
        <v>390043.3164631385</v>
      </c>
      <c r="J12" s="12"/>
      <c r="K12" s="13"/>
    </row>
    <row r="13" spans="1:14">
      <c r="A13" s="5">
        <v>3</v>
      </c>
      <c r="D13" s="6" t="s">
        <v>277</v>
      </c>
      <c r="F13" s="50">
        <f>+L23</f>
        <v>16.261050295488587</v>
      </c>
      <c r="G13" s="111">
        <f>+F13/F$15</f>
        <v>0.33910901099608387</v>
      </c>
      <c r="H13" s="112">
        <f>+H$8*G13</f>
        <v>214301.29593501918</v>
      </c>
      <c r="J13" s="14"/>
      <c r="K13" s="13"/>
    </row>
    <row r="14" spans="1:14" ht="13.5" thickBot="1">
      <c r="A14" s="5">
        <v>4</v>
      </c>
      <c r="D14" s="89" t="s">
        <v>278</v>
      </c>
      <c r="E14" s="89"/>
      <c r="F14" s="90">
        <f>+L24</f>
        <v>2.0949833199204209</v>
      </c>
      <c r="G14" s="91">
        <f>+F14/F$15</f>
        <v>4.3688919766062408E-2</v>
      </c>
      <c r="H14" s="92">
        <f>+H$8*G14</f>
        <v>27609.387601842202</v>
      </c>
      <c r="J14" s="14"/>
      <c r="K14" s="13"/>
    </row>
    <row r="15" spans="1:14">
      <c r="A15" s="5">
        <v>5</v>
      </c>
      <c r="D15" s="6" t="s">
        <v>137</v>
      </c>
      <c r="F15" s="50">
        <f>SUM(F12:F14)</f>
        <v>47.95228014650538</v>
      </c>
      <c r="G15" s="113">
        <f>+F15/F$15</f>
        <v>1</v>
      </c>
      <c r="H15" s="114">
        <f>SUM(H12:H14)</f>
        <v>631953.99999999988</v>
      </c>
      <c r="J15" s="12"/>
    </row>
    <row r="16" spans="1:14">
      <c r="G16" s="26"/>
      <c r="H16" s="26"/>
    </row>
    <row r="17" spans="1:18">
      <c r="G17" s="26"/>
      <c r="H17" s="26"/>
    </row>
    <row r="18" spans="1:18">
      <c r="A18" s="7" t="s">
        <v>279</v>
      </c>
      <c r="E18" s="149" t="s">
        <v>396</v>
      </c>
      <c r="F18" s="150"/>
      <c r="G18" s="151"/>
      <c r="H18" s="151"/>
      <c r="N18" s="302"/>
    </row>
    <row r="19" spans="1:18">
      <c r="G19" s="26"/>
      <c r="H19" s="26"/>
    </row>
    <row r="20" spans="1:18" ht="39" thickBot="1">
      <c r="B20" s="9" t="s">
        <v>280</v>
      </c>
      <c r="C20" s="9"/>
      <c r="D20" s="10" t="s">
        <v>115</v>
      </c>
      <c r="E20" s="10" t="s">
        <v>117</v>
      </c>
      <c r="F20" s="10" t="s">
        <v>281</v>
      </c>
      <c r="G20" s="289" t="s">
        <v>398</v>
      </c>
      <c r="H20" s="48" t="s">
        <v>236</v>
      </c>
      <c r="N20" s="302"/>
    </row>
    <row r="21" spans="1:18">
      <c r="G21" s="26"/>
      <c r="H21" s="26"/>
      <c r="M21" s="99" t="s">
        <v>302</v>
      </c>
      <c r="N21" s="100"/>
      <c r="O21" s="100"/>
      <c r="P21" s="101"/>
    </row>
    <row r="22" spans="1:18">
      <c r="A22" s="5">
        <v>6</v>
      </c>
      <c r="B22" s="6" t="str">
        <f>+D12</f>
        <v>Black Hills</v>
      </c>
      <c r="D22" s="94">
        <f>Estimate!J122</f>
        <v>29998618.263233084</v>
      </c>
      <c r="E22" s="15">
        <f>-H12</f>
        <v>-390043.3164631385</v>
      </c>
      <c r="F22" s="15">
        <f>+E22+D22</f>
        <v>29608574.946769945</v>
      </c>
      <c r="G22" s="30">
        <f>+'WP7 CU AC LOADS'!J44*1000</f>
        <v>1000416.6666666666</v>
      </c>
      <c r="H22" s="115">
        <f>+F22/G22</f>
        <v>29.596243178778789</v>
      </c>
      <c r="J22" s="93" t="s">
        <v>83</v>
      </c>
      <c r="L22" s="281">
        <v>29.596246531096366</v>
      </c>
      <c r="M22" s="102" t="s">
        <v>303</v>
      </c>
      <c r="N22" s="103"/>
      <c r="O22" s="103"/>
      <c r="P22" s="104"/>
      <c r="R22" s="316"/>
    </row>
    <row r="23" spans="1:18">
      <c r="A23" s="5">
        <v>7</v>
      </c>
      <c r="B23" s="6" t="str">
        <f>+D13</f>
        <v>Basin Electric</v>
      </c>
      <c r="D23" s="297">
        <v>16482130</v>
      </c>
      <c r="E23" s="15">
        <f>-H13</f>
        <v>-214301.29593501918</v>
      </c>
      <c r="F23" s="15">
        <f>+E23+D23</f>
        <v>16267828.70406498</v>
      </c>
      <c r="G23" s="116">
        <f>+G22</f>
        <v>1000416.6666666666</v>
      </c>
      <c r="H23" s="115">
        <f>+F23/G23</f>
        <v>16.261053265204477</v>
      </c>
      <c r="J23" s="93" t="s">
        <v>83</v>
      </c>
      <c r="L23" s="281">
        <v>16.261050295488587</v>
      </c>
      <c r="M23" s="102" t="s">
        <v>304</v>
      </c>
      <c r="N23" s="103"/>
      <c r="O23" s="103"/>
      <c r="P23" s="104"/>
      <c r="R23" s="316"/>
    </row>
    <row r="24" spans="1:18" ht="13.5" thickBot="1">
      <c r="A24" s="5">
        <v>8</v>
      </c>
      <c r="B24" s="9" t="str">
        <f>+D14</f>
        <v>PRECorp</v>
      </c>
      <c r="C24" s="9"/>
      <c r="D24" s="298">
        <v>2123466</v>
      </c>
      <c r="E24" s="18">
        <f>-H14</f>
        <v>-27609.387601842202</v>
      </c>
      <c r="F24" s="18">
        <f>+E24+D24</f>
        <v>2095856.6123981578</v>
      </c>
      <c r="G24" s="117">
        <f>+G23</f>
        <v>1000416.6666666666</v>
      </c>
      <c r="H24" s="118">
        <f>+F24/G24</f>
        <v>2.0949837025221072</v>
      </c>
      <c r="J24" s="93" t="s">
        <v>83</v>
      </c>
      <c r="L24" s="281">
        <v>2.0949833199204209</v>
      </c>
      <c r="M24" s="105" t="s">
        <v>305</v>
      </c>
      <c r="N24" s="106"/>
      <c r="O24" s="106"/>
      <c r="P24" s="107"/>
      <c r="R24" s="316"/>
    </row>
    <row r="25" spans="1:18">
      <c r="A25" s="5">
        <v>9</v>
      </c>
      <c r="B25" s="6" t="s">
        <v>137</v>
      </c>
      <c r="D25" s="15">
        <f>SUM(D22:D24)</f>
        <v>48604214.263233081</v>
      </c>
      <c r="E25" s="15">
        <f>SUM(E22:E24)</f>
        <v>-631953.99999999988</v>
      </c>
      <c r="F25" s="15">
        <f>SUM(F22:F24)</f>
        <v>47972260.263233081</v>
      </c>
      <c r="H25" s="16">
        <f>SUM(H22:H24)</f>
        <v>47.952280146505373</v>
      </c>
    </row>
    <row r="26" spans="1:18">
      <c r="F26" s="15"/>
      <c r="G26" s="17"/>
      <c r="H26" s="16"/>
    </row>
    <row r="27" spans="1:18">
      <c r="A27" s="7" t="s">
        <v>282</v>
      </c>
    </row>
    <row r="28" spans="1:18">
      <c r="A28" s="5">
        <v>10</v>
      </c>
      <c r="D28" s="6" t="s">
        <v>283</v>
      </c>
      <c r="F28" s="20">
        <f>+H25</f>
        <v>47.952280146505373</v>
      </c>
      <c r="G28" s="19" t="s">
        <v>284</v>
      </c>
      <c r="H28" s="284">
        <f>ROUND(F28,2)*1000</f>
        <v>47950</v>
      </c>
      <c r="I28" s="6" t="s">
        <v>374</v>
      </c>
    </row>
    <row r="29" spans="1:18">
      <c r="A29" s="5">
        <f t="shared" ref="A29:A34" si="0">+A28+1</f>
        <v>11</v>
      </c>
      <c r="D29" s="6" t="s">
        <v>285</v>
      </c>
      <c r="F29" s="49">
        <f>ROUND(F28/12,2)</f>
        <v>4</v>
      </c>
      <c r="G29" s="19" t="s">
        <v>286</v>
      </c>
      <c r="H29" s="284">
        <f t="shared" ref="H29:H30" si="1">F29*1000</f>
        <v>4000</v>
      </c>
      <c r="I29" s="6" t="s">
        <v>374</v>
      </c>
    </row>
    <row r="30" spans="1:18">
      <c r="A30" s="5">
        <f t="shared" si="0"/>
        <v>12</v>
      </c>
      <c r="D30" s="6" t="s">
        <v>287</v>
      </c>
      <c r="F30" s="49">
        <f>ROUND(F28/52,2)</f>
        <v>0.92</v>
      </c>
      <c r="G30" s="19" t="s">
        <v>288</v>
      </c>
      <c r="H30" s="284">
        <f t="shared" si="1"/>
        <v>920</v>
      </c>
      <c r="I30" s="6" t="s">
        <v>374</v>
      </c>
    </row>
    <row r="31" spans="1:18">
      <c r="A31" s="5">
        <f t="shared" si="0"/>
        <v>13</v>
      </c>
      <c r="D31" s="6" t="s">
        <v>289</v>
      </c>
      <c r="E31" s="6" t="s">
        <v>290</v>
      </c>
      <c r="F31" s="51">
        <f>+F30/6</f>
        <v>0.15333333333333335</v>
      </c>
      <c r="G31" s="19" t="s">
        <v>291</v>
      </c>
      <c r="H31" s="284">
        <f>ROUND(F31,4)*1000</f>
        <v>153.29999999999998</v>
      </c>
      <c r="I31" s="6" t="s">
        <v>374</v>
      </c>
    </row>
    <row r="32" spans="1:18">
      <c r="A32" s="5">
        <f t="shared" si="0"/>
        <v>14</v>
      </c>
      <c r="D32" s="6" t="s">
        <v>292</v>
      </c>
      <c r="E32" s="6" t="s">
        <v>293</v>
      </c>
      <c r="F32" s="51">
        <f>+F30/7</f>
        <v>0.13142857142857142</v>
      </c>
      <c r="G32" s="19" t="s">
        <v>291</v>
      </c>
      <c r="H32" s="284">
        <f>ROUND(F32,4)*1000</f>
        <v>131.39999999999998</v>
      </c>
      <c r="I32" s="6" t="s">
        <v>374</v>
      </c>
    </row>
    <row r="33" spans="1:9">
      <c r="A33" s="5">
        <f t="shared" si="0"/>
        <v>15</v>
      </c>
      <c r="D33" s="6" t="s">
        <v>294</v>
      </c>
      <c r="E33" s="6" t="s">
        <v>295</v>
      </c>
      <c r="F33" s="52">
        <f>+F31/16</f>
        <v>9.5833333333333343E-3</v>
      </c>
      <c r="G33" s="19" t="s">
        <v>296</v>
      </c>
      <c r="H33" s="284">
        <f>ROUND(F33,5)*1000</f>
        <v>9.58</v>
      </c>
      <c r="I33" s="6" t="s">
        <v>374</v>
      </c>
    </row>
    <row r="34" spans="1:9">
      <c r="A34" s="5">
        <f t="shared" si="0"/>
        <v>16</v>
      </c>
      <c r="D34" s="6" t="s">
        <v>297</v>
      </c>
      <c r="E34" s="6" t="s">
        <v>298</v>
      </c>
      <c r="F34" s="52">
        <f>+F32/24</f>
        <v>5.4761904761904756E-3</v>
      </c>
      <c r="G34" s="19" t="s">
        <v>296</v>
      </c>
      <c r="H34" s="284">
        <f>ROUND(F34,5)*1000</f>
        <v>5.4799999999999995</v>
      </c>
      <c r="I34" s="6" t="s">
        <v>374</v>
      </c>
    </row>
    <row r="40" spans="1:9">
      <c r="A40" s="7" t="s">
        <v>299</v>
      </c>
    </row>
    <row r="42" spans="1:9">
      <c r="B42" s="6" t="str">
        <f>+D20</f>
        <v>Component Annual Revenue Requirements</v>
      </c>
      <c r="E42" s="15">
        <f>+D25</f>
        <v>48604214.263233081</v>
      </c>
    </row>
    <row r="43" spans="1:9">
      <c r="B43" s="26" t="s">
        <v>274</v>
      </c>
      <c r="E43" s="15">
        <f>+E25</f>
        <v>-631953.99999999988</v>
      </c>
    </row>
    <row r="44" spans="1:9">
      <c r="B44" s="6" t="str">
        <f>+F20</f>
        <v>Net Revenue Requirements</v>
      </c>
      <c r="E44" s="15">
        <f>+F25</f>
        <v>47972260.263233081</v>
      </c>
    </row>
    <row r="45" spans="1:9">
      <c r="B45" s="6" t="str">
        <f>+G20</f>
        <v>Projected 2022 Load</v>
      </c>
      <c r="E45" s="17">
        <f>+G22</f>
        <v>1000416.6666666666</v>
      </c>
    </row>
    <row r="46" spans="1:9">
      <c r="B46" s="6" t="str">
        <f>+H20</f>
        <v>Annual Rate</v>
      </c>
      <c r="E46" s="20">
        <f>+E44/E45</f>
        <v>47.952280146505373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5"/>
  <sheetViews>
    <sheetView showGridLines="0" zoomScale="80" zoomScaleNormal="80" workbookViewId="0">
      <pane xSplit="3" ySplit="11" topLeftCell="D12" activePane="bottomRight" state="frozen"/>
      <selection activeCell="G75" sqref="G75"/>
      <selection pane="topRight" activeCell="G75" sqref="G75"/>
      <selection pane="bottomLeft" activeCell="G75" sqref="G75"/>
      <selection pane="bottomRight" activeCell="G75" sqref="G75"/>
    </sheetView>
  </sheetViews>
  <sheetFormatPr defaultColWidth="8.88671875" defaultRowHeight="15"/>
  <cols>
    <col min="1" max="1" width="6" style="134" customWidth="1"/>
    <col min="2" max="2" width="1.44140625" style="134" customWidth="1"/>
    <col min="3" max="3" width="48.5546875" style="134" customWidth="1"/>
    <col min="4" max="4" width="34.5546875" style="134" customWidth="1"/>
    <col min="5" max="5" width="23.109375" style="134" customWidth="1"/>
    <col min="6" max="6" width="7.88671875" style="134" customWidth="1"/>
    <col min="7" max="7" width="6.33203125" style="134" customWidth="1"/>
    <col min="8" max="8" width="14" style="134" customWidth="1"/>
    <col min="9" max="9" width="7.5546875" style="134" customWidth="1"/>
    <col min="10" max="10" width="17.88671875" style="134" bestFit="1" customWidth="1"/>
    <col min="11" max="11" width="1.109375" style="134" customWidth="1"/>
    <col min="12" max="12" width="14.44140625" style="134" bestFit="1" customWidth="1"/>
    <col min="13" max="13" width="14" style="134" bestFit="1" customWidth="1"/>
    <col min="14" max="14" width="15.6640625" style="134" customWidth="1"/>
    <col min="15" max="15" width="13.44140625" style="134" bestFit="1" customWidth="1"/>
    <col min="16" max="16384" width="8.88671875" style="134"/>
  </cols>
  <sheetData>
    <row r="1" spans="1:40" ht="15.75">
      <c r="I1" s="190" t="s">
        <v>320</v>
      </c>
      <c r="J1" s="291">
        <v>44469</v>
      </c>
      <c r="M1" s="303"/>
    </row>
    <row r="2" spans="1:40" ht="15.75">
      <c r="A2" s="3"/>
      <c r="B2" s="3"/>
      <c r="C2" s="3"/>
      <c r="D2" s="87"/>
      <c r="E2" s="3"/>
      <c r="F2" s="3"/>
      <c r="G2" s="3"/>
      <c r="I2" s="191" t="s">
        <v>116</v>
      </c>
      <c r="J2" s="292">
        <v>2022</v>
      </c>
      <c r="L2" s="192"/>
      <c r="M2" s="303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</row>
    <row r="4" spans="1:40" ht="15" customHeight="1">
      <c r="A4" s="319" t="s">
        <v>238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</row>
    <row r="5" spans="1:40" ht="15.75">
      <c r="A5" s="320" t="s">
        <v>134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</row>
    <row r="6" spans="1:40">
      <c r="A6" s="3"/>
      <c r="B6" s="3"/>
      <c r="C6" s="133"/>
      <c r="D6" s="133"/>
      <c r="F6" s="133"/>
      <c r="G6" s="133"/>
      <c r="H6" s="133"/>
      <c r="I6" s="133"/>
      <c r="J6" s="133"/>
      <c r="K6" s="133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</row>
    <row r="7" spans="1:40" ht="15" customHeight="1">
      <c r="A7" s="321" t="s">
        <v>237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</row>
    <row r="8" spans="1:40">
      <c r="A8" s="55"/>
      <c r="B8" s="3"/>
      <c r="C8" s="133"/>
      <c r="D8" s="133"/>
      <c r="E8" s="195"/>
      <c r="F8" s="133"/>
      <c r="G8" s="133"/>
      <c r="H8" s="133"/>
      <c r="I8" s="133"/>
      <c r="J8" s="133"/>
      <c r="K8" s="133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>
      <c r="A9" s="3"/>
      <c r="B9" s="3"/>
      <c r="C9" s="196" t="s">
        <v>139</v>
      </c>
      <c r="D9" s="196" t="s">
        <v>140</v>
      </c>
      <c r="E9" s="196" t="s">
        <v>141</v>
      </c>
      <c r="F9" s="1" t="s">
        <v>133</v>
      </c>
      <c r="G9" s="1"/>
      <c r="H9" s="197" t="s">
        <v>142</v>
      </c>
      <c r="I9" s="1"/>
      <c r="J9" s="198" t="s">
        <v>143</v>
      </c>
      <c r="K9" s="1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</row>
    <row r="10" spans="1:40" ht="15.75">
      <c r="A10" s="3"/>
      <c r="B10" s="3"/>
      <c r="C10" s="188"/>
      <c r="D10" s="194" t="s">
        <v>144</v>
      </c>
      <c r="E10" s="1"/>
      <c r="F10" s="1"/>
      <c r="G10" s="199" t="s">
        <v>59</v>
      </c>
      <c r="H10" s="55"/>
      <c r="I10" s="1"/>
      <c r="J10" s="193" t="s">
        <v>145</v>
      </c>
      <c r="K10" s="1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</row>
    <row r="11" spans="1:40" ht="15.75">
      <c r="A11" s="55" t="s">
        <v>135</v>
      </c>
      <c r="B11" s="3"/>
      <c r="C11" s="188"/>
      <c r="D11" s="200" t="s">
        <v>146</v>
      </c>
      <c r="E11" s="193" t="s">
        <v>147</v>
      </c>
      <c r="F11" s="201"/>
      <c r="G11" s="202" t="s">
        <v>49</v>
      </c>
      <c r="H11" s="203"/>
      <c r="I11" s="201"/>
      <c r="J11" s="55" t="s">
        <v>148</v>
      </c>
      <c r="K11" s="1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</row>
    <row r="12" spans="1:40" ht="16.5" thickBot="1">
      <c r="A12" s="204" t="s">
        <v>136</v>
      </c>
      <c r="B12" s="3"/>
      <c r="C12" s="205" t="s">
        <v>149</v>
      </c>
      <c r="D12" s="1"/>
      <c r="E12" s="1"/>
      <c r="F12" s="1"/>
      <c r="G12" s="1"/>
      <c r="H12" s="1"/>
      <c r="I12" s="1"/>
      <c r="J12" s="1"/>
      <c r="K12" s="1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</row>
    <row r="13" spans="1:40">
      <c r="A13" s="55"/>
      <c r="B13" s="3"/>
      <c r="C13" s="188"/>
      <c r="D13" s="1"/>
      <c r="E13" s="1"/>
      <c r="F13" s="1"/>
      <c r="G13" s="1"/>
      <c r="H13" s="1"/>
      <c r="I13" s="1"/>
      <c r="J13" s="1"/>
      <c r="K13" s="1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</row>
    <row r="14" spans="1:40">
      <c r="A14" s="55"/>
      <c r="B14" s="3"/>
      <c r="C14" s="188" t="s">
        <v>150</v>
      </c>
      <c r="D14" s="1" t="s">
        <v>321</v>
      </c>
      <c r="E14" s="1"/>
      <c r="F14" s="1"/>
      <c r="G14" s="1"/>
      <c r="H14" s="1"/>
      <c r="I14" s="1"/>
      <c r="J14" s="1"/>
      <c r="K14" s="1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</row>
    <row r="15" spans="1:40">
      <c r="A15" s="55">
        <v>1</v>
      </c>
      <c r="B15" s="3"/>
      <c r="C15" s="188" t="s">
        <v>151</v>
      </c>
      <c r="D15" s="1" t="s">
        <v>39</v>
      </c>
      <c r="E15" s="273">
        <f>+'WP6 Rate Base'!Q15</f>
        <v>663360946.57999992</v>
      </c>
      <c r="F15" s="1"/>
      <c r="G15" s="1" t="s">
        <v>152</v>
      </c>
      <c r="H15" s="206" t="s">
        <v>133</v>
      </c>
      <c r="I15" s="1"/>
      <c r="J15" s="1" t="s">
        <v>133</v>
      </c>
      <c r="K15" s="1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</row>
    <row r="16" spans="1:40">
      <c r="A16" s="55">
        <v>2</v>
      </c>
      <c r="B16" s="3"/>
      <c r="C16" s="188" t="s">
        <v>153</v>
      </c>
      <c r="D16" s="1" t="s">
        <v>84</v>
      </c>
      <c r="E16" s="273">
        <f>+'WP6 Rate Base'!Q16</f>
        <v>241146841.09</v>
      </c>
      <c r="F16" s="1"/>
      <c r="G16" s="1" t="s">
        <v>138</v>
      </c>
      <c r="H16" s="206">
        <f>+J144</f>
        <v>0.86519800000000002</v>
      </c>
      <c r="I16" s="1"/>
      <c r="J16" s="1">
        <f>+H16*E16</f>
        <v>208639764.61738583</v>
      </c>
      <c r="K16" s="1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</row>
    <row r="17" spans="1:40">
      <c r="A17" s="55">
        <v>3</v>
      </c>
      <c r="B17" s="3"/>
      <c r="C17" s="188" t="s">
        <v>355</v>
      </c>
      <c r="D17" s="1" t="s">
        <v>356</v>
      </c>
      <c r="E17" s="1">
        <f>'BHP WP2 Capital Additions'!F20</f>
        <v>25499023</v>
      </c>
      <c r="F17" s="1"/>
      <c r="G17" s="1" t="s">
        <v>138</v>
      </c>
      <c r="H17" s="206">
        <f>H16</f>
        <v>0.86519800000000002</v>
      </c>
      <c r="I17" s="1"/>
      <c r="J17" s="1">
        <f>+H17*E17</f>
        <v>22061703.701554</v>
      </c>
      <c r="K17" s="1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</row>
    <row r="18" spans="1:40">
      <c r="A18" s="55">
        <v>4</v>
      </c>
      <c r="B18" s="3"/>
      <c r="C18" s="188" t="s">
        <v>355</v>
      </c>
      <c r="D18" s="1" t="s">
        <v>357</v>
      </c>
      <c r="E18" s="1">
        <f>'BHP WP3 Capital Additions'!F23</f>
        <v>4492858.125</v>
      </c>
      <c r="F18" s="1"/>
      <c r="G18" s="1" t="s">
        <v>138</v>
      </c>
      <c r="H18" s="206">
        <f>H17</f>
        <v>0.86519800000000002</v>
      </c>
      <c r="I18" s="1"/>
      <c r="J18" s="1">
        <f>+H18*E18</f>
        <v>3887211.8640337503</v>
      </c>
      <c r="K18" s="1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</row>
    <row r="19" spans="1:40">
      <c r="A19" s="55">
        <v>5</v>
      </c>
      <c r="B19" s="3"/>
      <c r="C19" s="188" t="s">
        <v>154</v>
      </c>
      <c r="D19" s="1" t="s">
        <v>85</v>
      </c>
      <c r="E19" s="273">
        <f>+'WP6 Rate Base'!Q17</f>
        <v>473031181.0200001</v>
      </c>
      <c r="F19" s="1"/>
      <c r="G19" s="1" t="s">
        <v>152</v>
      </c>
      <c r="H19" s="207"/>
      <c r="I19" s="1"/>
      <c r="J19" s="1"/>
      <c r="K19" s="1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</row>
    <row r="20" spans="1:40">
      <c r="A20" s="55">
        <v>6</v>
      </c>
      <c r="B20" s="3"/>
      <c r="C20" s="188" t="s">
        <v>155</v>
      </c>
      <c r="D20" s="1" t="s">
        <v>363</v>
      </c>
      <c r="E20" s="273">
        <f>+'WP6 Rate Base'!Q18</f>
        <v>60489131.510000005</v>
      </c>
      <c r="F20" s="1"/>
      <c r="G20" s="1" t="s">
        <v>156</v>
      </c>
      <c r="H20" s="206">
        <f>J176</f>
        <v>0.11760231503676288</v>
      </c>
      <c r="I20" s="1"/>
      <c r="J20" s="1">
        <f>+H20*E20</f>
        <v>7113661.9001392014</v>
      </c>
      <c r="K20" s="1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</row>
    <row r="21" spans="1:40">
      <c r="A21" s="55">
        <v>7</v>
      </c>
      <c r="B21" s="3"/>
      <c r="C21" s="188" t="s">
        <v>101</v>
      </c>
      <c r="D21" s="1" t="s">
        <v>364</v>
      </c>
      <c r="E21" s="273">
        <f>+'WP6 Rate Base'!Q19</f>
        <v>26026522</v>
      </c>
      <c r="F21" s="1"/>
      <c r="G21" s="1" t="s">
        <v>156</v>
      </c>
      <c r="H21" s="206">
        <f>+H20</f>
        <v>0.11760231503676288</v>
      </c>
      <c r="I21" s="1"/>
      <c r="J21" s="1">
        <f>+H21*E21</f>
        <v>3060779.2395552401</v>
      </c>
      <c r="K21" s="1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</row>
    <row r="22" spans="1:40">
      <c r="A22" s="55">
        <v>8</v>
      </c>
      <c r="B22" s="3"/>
      <c r="C22" s="188" t="s">
        <v>68</v>
      </c>
      <c r="D22" s="1" t="s">
        <v>365</v>
      </c>
      <c r="E22" s="273">
        <f>+'WP6 Rate Base'!Q20</f>
        <v>7278054.4600000009</v>
      </c>
      <c r="F22" s="1"/>
      <c r="G22" s="1" t="s">
        <v>95</v>
      </c>
      <c r="H22" s="206">
        <f>+J181</f>
        <v>0.35120482409733583</v>
      </c>
      <c r="I22" s="1"/>
      <c r="J22" s="1">
        <f>+H22*E22</f>
        <v>2556087.836395131</v>
      </c>
      <c r="K22" s="1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</row>
    <row r="23" spans="1:40" ht="15.75" thickBot="1">
      <c r="A23" s="55">
        <v>9</v>
      </c>
      <c r="B23" s="3"/>
      <c r="C23" s="188" t="s">
        <v>157</v>
      </c>
      <c r="D23" s="1" t="s">
        <v>158</v>
      </c>
      <c r="E23" s="274">
        <f>+'WP6 Rate Base'!Q21</f>
        <v>0</v>
      </c>
      <c r="F23" s="1"/>
      <c r="G23" s="1" t="s">
        <v>189</v>
      </c>
      <c r="H23" s="206">
        <v>0</v>
      </c>
      <c r="I23" s="1"/>
      <c r="J23" s="4">
        <f>+H23*E23</f>
        <v>0</v>
      </c>
      <c r="K23" s="1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</row>
    <row r="24" spans="1:40">
      <c r="A24" s="55">
        <v>10</v>
      </c>
      <c r="B24" s="3"/>
      <c r="C24" s="189" t="s">
        <v>5</v>
      </c>
      <c r="D24" s="1" t="str">
        <f>"(sum lines "&amp;A15&amp;" - "&amp;A23&amp;")"</f>
        <v>(sum lines 1 - 9)</v>
      </c>
      <c r="E24" s="1">
        <f>SUM(E15:E23)</f>
        <v>1501324557.7850001</v>
      </c>
      <c r="F24" s="1"/>
      <c r="G24" s="1" t="s">
        <v>159</v>
      </c>
      <c r="H24" s="208">
        <f>IF(E24&gt;0,+J24/E24,0)</f>
        <v>0.16473400629904369</v>
      </c>
      <c r="I24" s="1"/>
      <c r="J24" s="1">
        <f>SUM(J15:J23)</f>
        <v>247319209.15906319</v>
      </c>
      <c r="K24" s="1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</row>
    <row r="25" spans="1:40">
      <c r="A25" s="55">
        <v>11</v>
      </c>
      <c r="B25" s="3"/>
      <c r="C25" s="188"/>
      <c r="D25" s="1"/>
      <c r="E25" s="1"/>
      <c r="F25" s="1"/>
      <c r="G25" s="1"/>
      <c r="H25" s="208"/>
      <c r="I25" s="1"/>
      <c r="J25" s="1"/>
      <c r="K25" s="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</row>
    <row r="26" spans="1:40">
      <c r="A26" s="55">
        <v>12</v>
      </c>
      <c r="B26" s="3"/>
      <c r="C26" s="188" t="s">
        <v>160</v>
      </c>
      <c r="D26" s="1"/>
      <c r="E26" s="1"/>
      <c r="F26" s="1"/>
      <c r="G26" s="1"/>
      <c r="H26" s="1"/>
      <c r="I26" s="1"/>
      <c r="J26" s="1"/>
      <c r="K26" s="1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</row>
    <row r="27" spans="1:40">
      <c r="A27" s="55">
        <v>13</v>
      </c>
      <c r="B27" s="3"/>
      <c r="C27" s="188" t="str">
        <f>+C15</f>
        <v xml:space="preserve">  Production</v>
      </c>
      <c r="D27" s="1" t="s">
        <v>314</v>
      </c>
      <c r="E27" s="273">
        <f>+'WP6 Rate Base'!Q25</f>
        <v>218559376.06602514</v>
      </c>
      <c r="F27" s="1"/>
      <c r="G27" s="1" t="str">
        <f>+G15</f>
        <v>NA</v>
      </c>
      <c r="H27" s="206" t="str">
        <f>+H15</f>
        <v xml:space="preserve"> </v>
      </c>
      <c r="I27" s="1"/>
      <c r="J27" s="1" t="s">
        <v>133</v>
      </c>
      <c r="K27" s="1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</row>
    <row r="28" spans="1:40">
      <c r="A28" s="55">
        <v>14</v>
      </c>
      <c r="B28" s="3"/>
      <c r="C28" s="188" t="s">
        <v>153</v>
      </c>
      <c r="D28" s="1" t="s">
        <v>86</v>
      </c>
      <c r="E28" s="273">
        <f>+'WP6 Rate Base'!Q26</f>
        <v>44394064.420561269</v>
      </c>
      <c r="F28" s="1"/>
      <c r="G28" s="1" t="s">
        <v>46</v>
      </c>
      <c r="H28" s="206">
        <f>+J162</f>
        <v>0.84252199999999999</v>
      </c>
      <c r="I28" s="1"/>
      <c r="J28" s="1">
        <f>+H28*E28</f>
        <v>37402975.943740122</v>
      </c>
      <c r="K28" s="1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</row>
    <row r="29" spans="1:40">
      <c r="A29" s="55">
        <v>15</v>
      </c>
      <c r="B29" s="3"/>
      <c r="C29" s="188" t="s">
        <v>358</v>
      </c>
      <c r="D29" s="1" t="str">
        <f>"See Workpaper 2 (line 48)"</f>
        <v>See Workpaper 2 (line 48)</v>
      </c>
      <c r="E29" s="1">
        <f>'BHP WP2 Capital Additions'!F57</f>
        <v>8910220.5207653344</v>
      </c>
      <c r="F29" s="1"/>
      <c r="G29" s="1" t="s">
        <v>46</v>
      </c>
      <c r="H29" s="206">
        <f>H28</f>
        <v>0.84252199999999999</v>
      </c>
      <c r="I29" s="1"/>
      <c r="J29" s="1">
        <f>+H29*E29</f>
        <v>7507056.8135962514</v>
      </c>
      <c r="K29" s="1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</row>
    <row r="30" spans="1:40">
      <c r="A30" s="55">
        <v>16</v>
      </c>
      <c r="B30" s="3"/>
      <c r="C30" s="188" t="s">
        <v>154</v>
      </c>
      <c r="D30" s="1" t="s">
        <v>87</v>
      </c>
      <c r="E30" s="273">
        <f>+'WP6 Rate Base'!Q27</f>
        <v>154227433.02753505</v>
      </c>
      <c r="F30" s="1"/>
      <c r="G30" s="1" t="s">
        <v>152</v>
      </c>
      <c r="H30" s="206"/>
      <c r="I30" s="1"/>
      <c r="J30" s="1"/>
      <c r="K30" s="1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</row>
    <row r="31" spans="1:40">
      <c r="A31" s="55">
        <v>17</v>
      </c>
      <c r="B31" s="3"/>
      <c r="C31" s="188" t="str">
        <f>+C20</f>
        <v xml:space="preserve">  General &amp; Intangible</v>
      </c>
      <c r="D31" s="1" t="s">
        <v>366</v>
      </c>
      <c r="E31" s="273">
        <f>+'WP6 Rate Base'!Q28</f>
        <v>29306963.765748475</v>
      </c>
      <c r="F31" s="1"/>
      <c r="G31" s="1" t="str">
        <f>+G20</f>
        <v>W/S</v>
      </c>
      <c r="H31" s="206">
        <f>+H20</f>
        <v>0.11760231503676288</v>
      </c>
      <c r="I31" s="1"/>
      <c r="J31" s="1">
        <f>+H31*E31</f>
        <v>3446566.7855505468</v>
      </c>
      <c r="K31" s="1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1:40">
      <c r="A32" s="55">
        <v>18</v>
      </c>
      <c r="B32" s="3"/>
      <c r="C32" s="188" t="s">
        <v>101</v>
      </c>
      <c r="D32" s="1" t="s">
        <v>367</v>
      </c>
      <c r="E32" s="273">
        <f>+'WP6 Rate Base'!Q29</f>
        <v>1972780</v>
      </c>
      <c r="F32" s="1"/>
      <c r="G32" s="1" t="str">
        <f>+G21</f>
        <v>W/S</v>
      </c>
      <c r="H32" s="206">
        <f>+H31</f>
        <v>0.11760231503676288</v>
      </c>
      <c r="I32" s="1"/>
      <c r="J32" s="1">
        <f>+H32*E32</f>
        <v>232003.49505822509</v>
      </c>
      <c r="K32" s="1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</row>
    <row r="33" spans="1:40">
      <c r="A33" s="55">
        <v>19</v>
      </c>
      <c r="B33" s="3"/>
      <c r="C33" s="188" t="str">
        <f>+C22</f>
        <v xml:space="preserve">  Communication System</v>
      </c>
      <c r="D33" s="1" t="s">
        <v>368</v>
      </c>
      <c r="E33" s="273">
        <f>+'WP6 Rate Base'!Q30</f>
        <v>3226526.2548353998</v>
      </c>
      <c r="F33" s="1"/>
      <c r="G33" s="1" t="str">
        <f>+G22</f>
        <v>T&amp;D</v>
      </c>
      <c r="H33" s="206">
        <f>+H22</f>
        <v>0.35120482409733583</v>
      </c>
      <c r="I33" s="1"/>
      <c r="J33" s="1">
        <f>+H33*E33</f>
        <v>1133171.5857749023</v>
      </c>
      <c r="K33" s="1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</row>
    <row r="34" spans="1:40" ht="15.75" thickBot="1">
      <c r="A34" s="55">
        <v>20</v>
      </c>
      <c r="B34" s="3"/>
      <c r="C34" s="188" t="str">
        <f>+C23</f>
        <v xml:space="preserve">  Common</v>
      </c>
      <c r="D34" s="1" t="s">
        <v>158</v>
      </c>
      <c r="E34" s="274">
        <f>+'WP6 Rate Base'!R31</f>
        <v>0</v>
      </c>
      <c r="F34" s="1"/>
      <c r="G34" s="1" t="str">
        <f>+G23</f>
        <v>CE</v>
      </c>
      <c r="H34" s="206">
        <f>+H23</f>
        <v>0</v>
      </c>
      <c r="I34" s="1"/>
      <c r="J34" s="4">
        <f>+H34*E34</f>
        <v>0</v>
      </c>
      <c r="K34" s="1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</row>
    <row r="35" spans="1:40">
      <c r="A35" s="55">
        <v>21</v>
      </c>
      <c r="B35" s="3"/>
      <c r="C35" s="188" t="s">
        <v>7</v>
      </c>
      <c r="D35" s="1" t="str">
        <f>"(sum lines "&amp;A27&amp;" - "&amp;A34&amp;")"</f>
        <v>(sum lines 13 - 20)</v>
      </c>
      <c r="E35" s="1">
        <f>SUM(E27:E34)</f>
        <v>460597364.05547076</v>
      </c>
      <c r="F35" s="1"/>
      <c r="G35" s="1"/>
      <c r="H35" s="1"/>
      <c r="I35" s="1"/>
      <c r="J35" s="1">
        <f>SUM(J27:J34)</f>
        <v>49721774.62372005</v>
      </c>
      <c r="K35" s="1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</row>
    <row r="36" spans="1:40">
      <c r="A36" s="55">
        <v>22</v>
      </c>
      <c r="B36" s="3"/>
      <c r="C36" s="3"/>
      <c r="D36" s="1" t="s">
        <v>133</v>
      </c>
      <c r="E36" s="3"/>
      <c r="F36" s="1"/>
      <c r="G36" s="1"/>
      <c r="H36" s="208"/>
      <c r="I36" s="1"/>
      <c r="J36" s="3"/>
      <c r="K36" s="1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</row>
    <row r="37" spans="1:40">
      <c r="A37" s="55">
        <v>23</v>
      </c>
      <c r="B37" s="3"/>
      <c r="C37" s="188" t="s">
        <v>161</v>
      </c>
      <c r="D37" s="1"/>
      <c r="E37" s="1"/>
      <c r="F37" s="1"/>
      <c r="G37" s="1"/>
      <c r="H37" s="1"/>
      <c r="I37" s="1"/>
      <c r="J37" s="1"/>
      <c r="K37" s="1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</row>
    <row r="38" spans="1:40">
      <c r="A38" s="55">
        <v>24</v>
      </c>
      <c r="B38" s="3"/>
      <c r="C38" s="188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444801570.51397479</v>
      </c>
      <c r="F38" s="1"/>
      <c r="G38" s="1" t="s">
        <v>57</v>
      </c>
      <c r="H38" s="208"/>
      <c r="I38" s="1"/>
      <c r="J38" s="1" t="s">
        <v>133</v>
      </c>
      <c r="K38" s="1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</row>
    <row r="39" spans="1:40">
      <c r="A39" s="55">
        <v>25</v>
      </c>
      <c r="B39" s="3"/>
      <c r="C39" s="188" t="s">
        <v>153</v>
      </c>
      <c r="D39" s="1" t="str">
        <f>"(line "&amp;A16&amp;" - line "&amp;A28&amp;")"</f>
        <v>(line 2 - line 14)</v>
      </c>
      <c r="E39" s="1">
        <f>E16-E28</f>
        <v>196752776.66943872</v>
      </c>
      <c r="F39" s="1"/>
      <c r="G39" s="1" t="s">
        <v>57</v>
      </c>
      <c r="H39" s="206"/>
      <c r="I39" s="1"/>
      <c r="J39" s="1">
        <f>J16-J28</f>
        <v>171236788.6736457</v>
      </c>
      <c r="K39" s="1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</row>
    <row r="40" spans="1:40">
      <c r="A40" s="55">
        <v>26</v>
      </c>
      <c r="B40" s="3"/>
      <c r="C40" s="188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16588802.479234666</v>
      </c>
      <c r="F40" s="1"/>
      <c r="G40" s="1" t="s">
        <v>57</v>
      </c>
      <c r="H40" s="206"/>
      <c r="I40" s="1"/>
      <c r="J40" s="1">
        <f>J17-J29</f>
        <v>14554646.887957748</v>
      </c>
      <c r="K40" s="1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</row>
    <row r="41" spans="1:40">
      <c r="A41" s="55">
        <v>27</v>
      </c>
      <c r="B41" s="3"/>
      <c r="C41" s="188" t="s">
        <v>355</v>
      </c>
      <c r="D41" s="1" t="s">
        <v>354</v>
      </c>
      <c r="E41" s="1">
        <f>E18</f>
        <v>4492858.125</v>
      </c>
      <c r="F41" s="1"/>
      <c r="G41" s="1" t="s">
        <v>57</v>
      </c>
      <c r="H41" s="206"/>
      <c r="I41" s="1"/>
      <c r="J41" s="1">
        <f>J18</f>
        <v>3887211.8640337503</v>
      </c>
      <c r="K41" s="1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</row>
    <row r="42" spans="1:40">
      <c r="A42" s="55">
        <v>28</v>
      </c>
      <c r="B42" s="3"/>
      <c r="C42" s="188" t="s">
        <v>234</v>
      </c>
      <c r="D42" s="1" t="str">
        <f>"(line "&amp;A19&amp;" - line "&amp;A30&amp;")"</f>
        <v>(line 5 - line 16)</v>
      </c>
      <c r="E42" s="1">
        <f t="shared" ref="E42:E47" si="0">E19-E30</f>
        <v>318803747.99246502</v>
      </c>
      <c r="F42" s="1"/>
      <c r="G42" s="1" t="s">
        <v>57</v>
      </c>
      <c r="H42" s="208"/>
      <c r="I42" s="1"/>
      <c r="J42" s="1"/>
      <c r="K42" s="1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</row>
    <row r="43" spans="1:40">
      <c r="A43" s="55">
        <v>29</v>
      </c>
      <c r="B43" s="3"/>
      <c r="C43" s="188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si="0"/>
        <v>31182167.744251531</v>
      </c>
      <c r="F43" s="1"/>
      <c r="G43" s="1" t="s">
        <v>57</v>
      </c>
      <c r="H43" s="208"/>
      <c r="I43" s="1"/>
      <c r="J43" s="1">
        <f>J20-J31</f>
        <v>3667095.1145886546</v>
      </c>
      <c r="K43" s="1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</row>
    <row r="44" spans="1:40">
      <c r="A44" s="55">
        <v>30</v>
      </c>
      <c r="B44" s="3"/>
      <c r="C44" s="188" t="s">
        <v>101</v>
      </c>
      <c r="D44" s="1" t="str">
        <f>"(line "&amp;A21&amp;" - line "&amp;A32&amp;")"</f>
        <v>(line 7 - line 18)</v>
      </c>
      <c r="E44" s="1">
        <f t="shared" si="0"/>
        <v>24053742</v>
      </c>
      <c r="F44" s="1"/>
      <c r="G44" s="1" t="s">
        <v>57</v>
      </c>
      <c r="H44" s="208"/>
      <c r="I44" s="1"/>
      <c r="J44" s="1">
        <f>J21-J32</f>
        <v>2828775.7444970151</v>
      </c>
      <c r="K44" s="1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</row>
    <row r="45" spans="1:40">
      <c r="A45" s="55">
        <v>31</v>
      </c>
      <c r="B45" s="3"/>
      <c r="C45" s="188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4051528.2051646011</v>
      </c>
      <c r="F45" s="1"/>
      <c r="G45" s="1" t="s">
        <v>57</v>
      </c>
      <c r="H45" s="208"/>
      <c r="I45" s="1"/>
      <c r="J45" s="1">
        <f>J22-J33</f>
        <v>1422916.2506202287</v>
      </c>
      <c r="K45" s="1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</row>
    <row r="46" spans="1:40" ht="15.75" thickBot="1">
      <c r="A46" s="55">
        <v>32</v>
      </c>
      <c r="B46" s="3"/>
      <c r="C46" s="188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57</v>
      </c>
      <c r="H46" s="208"/>
      <c r="I46" s="1"/>
      <c r="J46" s="4">
        <f>J23-J34</f>
        <v>0</v>
      </c>
      <c r="K46" s="1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</row>
    <row r="47" spans="1:40">
      <c r="A47" s="55">
        <v>33</v>
      </c>
      <c r="B47" s="3"/>
      <c r="C47" s="188" t="s">
        <v>6</v>
      </c>
      <c r="D47" s="1" t="str">
        <f>"(sum lines "&amp;A38&amp;" - "&amp;A46&amp;")"</f>
        <v>(sum lines 24 - 32)</v>
      </c>
      <c r="E47" s="1">
        <f t="shared" si="0"/>
        <v>1040727193.7295294</v>
      </c>
      <c r="F47" s="1"/>
      <c r="G47" s="1" t="s">
        <v>162</v>
      </c>
      <c r="H47" s="208">
        <f>IF(E47&gt;0,+J47/E47,0)</f>
        <v>0.18986477505909768</v>
      </c>
      <c r="I47" s="1"/>
      <c r="J47" s="1">
        <f>SUM(J38:J46)</f>
        <v>197597434.53534308</v>
      </c>
      <c r="K47" s="1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</row>
    <row r="48" spans="1:40">
      <c r="A48" s="55">
        <v>34</v>
      </c>
      <c r="B48" s="3"/>
      <c r="C48" s="3"/>
      <c r="D48" s="1"/>
      <c r="E48" s="65"/>
      <c r="F48" s="1"/>
      <c r="G48" s="3"/>
      <c r="H48" s="3"/>
      <c r="I48" s="1"/>
      <c r="J48" s="3"/>
      <c r="K48" s="1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</row>
    <row r="49" spans="1:40">
      <c r="A49" s="55">
        <v>35</v>
      </c>
      <c r="B49" s="3"/>
      <c r="C49" s="189" t="s">
        <v>28</v>
      </c>
      <c r="D49" s="1" t="s">
        <v>369</v>
      </c>
      <c r="E49" s="1"/>
      <c r="F49" s="1"/>
      <c r="G49" s="1"/>
      <c r="H49" s="1"/>
      <c r="I49" s="1"/>
      <c r="J49" s="1"/>
      <c r="K49" s="1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</row>
    <row r="50" spans="1:40">
      <c r="A50" s="55">
        <v>36</v>
      </c>
      <c r="B50" s="3"/>
      <c r="C50" s="188" t="s">
        <v>207</v>
      </c>
      <c r="D50" s="1" t="s">
        <v>163</v>
      </c>
      <c r="E50" s="275">
        <f>+'WP6 Rate Base'!F50</f>
        <v>0</v>
      </c>
      <c r="F50" s="1"/>
      <c r="G50" s="1" t="str">
        <f>+G27</f>
        <v>NA</v>
      </c>
      <c r="H50" s="209" t="s">
        <v>228</v>
      </c>
      <c r="I50" s="1"/>
      <c r="J50" s="65">
        <v>0</v>
      </c>
      <c r="K50" s="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</row>
    <row r="51" spans="1:40" ht="15.75">
      <c r="A51" s="55">
        <v>37</v>
      </c>
      <c r="B51" s="3"/>
      <c r="C51" s="188" t="s">
        <v>208</v>
      </c>
      <c r="D51" s="1" t="s">
        <v>165</v>
      </c>
      <c r="E51" s="275">
        <f>+'WP6 Rate Base'!F51</f>
        <v>-134794823.62025249</v>
      </c>
      <c r="F51" s="1"/>
      <c r="G51" s="1" t="s">
        <v>164</v>
      </c>
      <c r="H51" s="206">
        <f>+H47</f>
        <v>0.18986477505909768</v>
      </c>
      <c r="I51" s="1"/>
      <c r="J51" s="275">
        <v>-26343225.865789898</v>
      </c>
      <c r="K51" s="1"/>
      <c r="L51" s="295"/>
      <c r="M51" s="303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</row>
    <row r="52" spans="1:40">
      <c r="A52" s="55">
        <v>38</v>
      </c>
      <c r="B52" s="3"/>
      <c r="C52" s="188" t="s">
        <v>209</v>
      </c>
      <c r="D52" s="1" t="s">
        <v>166</v>
      </c>
      <c r="E52" s="275">
        <f>+'WP6 Rate Base'!F52</f>
        <v>-17983096</v>
      </c>
      <c r="F52" s="1"/>
      <c r="G52" s="1" t="str">
        <f>+G51</f>
        <v>NP</v>
      </c>
      <c r="H52" s="206">
        <f>H47</f>
        <v>0.18986477505909768</v>
      </c>
      <c r="I52" s="1"/>
      <c r="J52" s="65">
        <f>E52*H52</f>
        <v>-3414356.4769061594</v>
      </c>
      <c r="K52" s="1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</row>
    <row r="53" spans="1:40">
      <c r="A53" s="55">
        <v>39</v>
      </c>
      <c r="B53" s="3"/>
      <c r="C53" s="188" t="s">
        <v>211</v>
      </c>
      <c r="D53" s="1" t="s">
        <v>167</v>
      </c>
      <c r="E53" s="275">
        <f>+'WP6 Rate Base'!F53</f>
        <v>37982694</v>
      </c>
      <c r="F53" s="1"/>
      <c r="G53" s="1" t="str">
        <f>+G52</f>
        <v>NP</v>
      </c>
      <c r="H53" s="206">
        <f>+H52</f>
        <v>0.18986477505909768</v>
      </c>
      <c r="I53" s="1"/>
      <c r="J53" s="65">
        <f>E53*H53</f>
        <v>7211575.6524485396</v>
      </c>
      <c r="K53" s="1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</row>
    <row r="54" spans="1:40">
      <c r="A54" s="55">
        <v>40</v>
      </c>
      <c r="B54" s="3"/>
      <c r="C54" s="3" t="s">
        <v>210</v>
      </c>
      <c r="D54" s="3" t="s">
        <v>88</v>
      </c>
      <c r="E54" s="275">
        <f>+'WP6 Rate Base'!F54</f>
        <v>0</v>
      </c>
      <c r="F54" s="1"/>
      <c r="G54" s="1" t="str">
        <f>+G53</f>
        <v>NP</v>
      </c>
      <c r="H54" s="206">
        <f>+H52</f>
        <v>0.18986477505909768</v>
      </c>
      <c r="I54" s="1"/>
      <c r="J54" s="86">
        <f>E54*H54</f>
        <v>0</v>
      </c>
      <c r="K54" s="1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</row>
    <row r="55" spans="1:40" ht="15.75" thickBot="1">
      <c r="A55" s="55">
        <v>41</v>
      </c>
      <c r="B55" s="3"/>
      <c r="C55" s="188" t="s">
        <v>230</v>
      </c>
      <c r="D55" s="3" t="s">
        <v>381</v>
      </c>
      <c r="E55" s="276">
        <f>+'WP6 Rate Base'!F55</f>
        <v>-93343907.373960704</v>
      </c>
      <c r="F55" s="1"/>
      <c r="G55" s="1" t="str">
        <f>+G54</f>
        <v>NP</v>
      </c>
      <c r="H55" s="206">
        <f>+H54</f>
        <v>0.18986477505909768</v>
      </c>
      <c r="I55" s="1"/>
      <c r="J55" s="250">
        <f>+H55*E55</f>
        <v>-17722719.976694297</v>
      </c>
      <c r="K55" s="1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</row>
    <row r="56" spans="1:40">
      <c r="A56" s="55">
        <v>42</v>
      </c>
      <c r="B56" s="3"/>
      <c r="C56" s="188" t="s">
        <v>8</v>
      </c>
      <c r="D56" s="1" t="str">
        <f>"(sum lines "&amp;A50&amp;" - "&amp;A55&amp;")"</f>
        <v>(sum lines 36 - 41)</v>
      </c>
      <c r="E56" s="65"/>
      <c r="F56" s="1"/>
      <c r="G56" s="1"/>
      <c r="H56" s="1"/>
      <c r="I56" s="1"/>
      <c r="J56" s="65">
        <f>SUM(J50:J55)</f>
        <v>-40268726.666941814</v>
      </c>
      <c r="K56" s="1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</row>
    <row r="57" spans="1:40">
      <c r="A57" s="55">
        <v>43</v>
      </c>
      <c r="B57" s="3"/>
      <c r="C57" s="3"/>
      <c r="D57" s="1"/>
      <c r="E57" s="3"/>
      <c r="F57" s="1"/>
      <c r="G57" s="1"/>
      <c r="H57" s="208"/>
      <c r="I57" s="1"/>
      <c r="J57" s="3"/>
      <c r="K57" s="1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</row>
    <row r="58" spans="1:40">
      <c r="A58" s="55">
        <v>44</v>
      </c>
      <c r="B58" s="3"/>
      <c r="C58" s="189" t="s">
        <v>168</v>
      </c>
      <c r="D58" s="1" t="s">
        <v>370</v>
      </c>
      <c r="E58" s="275">
        <v>0</v>
      </c>
      <c r="F58" s="1"/>
      <c r="G58" s="1" t="s">
        <v>300</v>
      </c>
      <c r="H58" s="206">
        <v>0</v>
      </c>
      <c r="I58" s="1"/>
      <c r="J58" s="1">
        <f>+H58*E58</f>
        <v>0</v>
      </c>
      <c r="K58" s="1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</row>
    <row r="59" spans="1:40">
      <c r="A59" s="55">
        <v>45</v>
      </c>
      <c r="B59" s="3"/>
      <c r="C59" s="188"/>
      <c r="D59" s="1"/>
      <c r="E59" s="1"/>
      <c r="F59" s="1"/>
      <c r="G59" s="1"/>
      <c r="H59" s="1"/>
      <c r="I59" s="1"/>
      <c r="J59" s="1"/>
      <c r="K59" s="1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</row>
    <row r="60" spans="1:40">
      <c r="A60" s="55">
        <v>46</v>
      </c>
      <c r="B60" s="3"/>
      <c r="C60" s="188" t="s">
        <v>235</v>
      </c>
      <c r="D60" s="1" t="s">
        <v>133</v>
      </c>
      <c r="E60" s="1"/>
      <c r="F60" s="1"/>
      <c r="G60" s="1"/>
      <c r="H60" s="1"/>
      <c r="I60" s="1"/>
      <c r="J60" s="1"/>
      <c r="K60" s="1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</row>
    <row r="61" spans="1:40">
      <c r="A61" s="55">
        <v>47</v>
      </c>
      <c r="B61" s="3"/>
      <c r="C61" s="188" t="s">
        <v>227</v>
      </c>
      <c r="D61" s="3" t="str">
        <f>"(1/8 * line "&amp;A90&amp;")"</f>
        <v>(1/8 * line 63)</v>
      </c>
      <c r="E61" s="1">
        <f>+E90/8</f>
        <v>4206639.8087499999</v>
      </c>
      <c r="F61" s="1"/>
      <c r="G61" s="1" t="s">
        <v>57</v>
      </c>
      <c r="H61" s="208"/>
      <c r="I61" s="1"/>
      <c r="J61" s="1">
        <f>+J90/8</f>
        <v>713412.02717105148</v>
      </c>
      <c r="K61" s="133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</row>
    <row r="62" spans="1:40">
      <c r="A62" s="55">
        <v>48</v>
      </c>
      <c r="B62" s="3"/>
      <c r="C62" s="188" t="s">
        <v>271</v>
      </c>
      <c r="D62" s="1" t="s">
        <v>98</v>
      </c>
      <c r="E62" s="273">
        <f>+'WP6 Rate Base'!F62</f>
        <v>6109676</v>
      </c>
      <c r="F62" s="1"/>
      <c r="G62" s="1" t="s">
        <v>95</v>
      </c>
      <c r="H62" s="206">
        <f>+J181</f>
        <v>0.35120482409733583</v>
      </c>
      <c r="I62" s="1"/>
      <c r="J62" s="1">
        <f>+H62*E62</f>
        <v>2145747.6848717146</v>
      </c>
      <c r="K62" s="1" t="s">
        <v>133</v>
      </c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</row>
    <row r="63" spans="1:40">
      <c r="A63" s="55">
        <v>49</v>
      </c>
      <c r="B63" s="3"/>
      <c r="C63" s="188" t="s">
        <v>271</v>
      </c>
      <c r="D63" s="1" t="s">
        <v>97</v>
      </c>
      <c r="E63" s="273">
        <f>+'WP6 Rate Base'!F63</f>
        <v>20816</v>
      </c>
      <c r="F63" s="1"/>
      <c r="G63" s="1" t="s">
        <v>138</v>
      </c>
      <c r="H63" s="206">
        <f>+J144</f>
        <v>0.86519800000000002</v>
      </c>
      <c r="I63" s="1"/>
      <c r="J63" s="1">
        <f>+H63*E63</f>
        <v>18009.961567999999</v>
      </c>
      <c r="K63" s="1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</row>
    <row r="64" spans="1:40" ht="15.75" thickBot="1">
      <c r="A64" s="55">
        <v>50</v>
      </c>
      <c r="B64" s="3"/>
      <c r="C64" s="188" t="s">
        <v>212</v>
      </c>
      <c r="D64" s="1" t="s">
        <v>40</v>
      </c>
      <c r="E64" s="277">
        <f>+'WP6 Rate Base'!F64</f>
        <v>3140099</v>
      </c>
      <c r="F64" s="1"/>
      <c r="G64" s="1" t="s">
        <v>169</v>
      </c>
      <c r="H64" s="206">
        <f>+H24</f>
        <v>0.16473400629904369</v>
      </c>
      <c r="I64" s="1"/>
      <c r="J64" s="4">
        <f>+H64*E64</f>
        <v>517281.08844562079</v>
      </c>
      <c r="K64" s="1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</row>
    <row r="65" spans="1:40">
      <c r="A65" s="55">
        <v>51</v>
      </c>
      <c r="B65" s="3"/>
      <c r="C65" s="188" t="s">
        <v>9</v>
      </c>
      <c r="D65" s="1" t="str">
        <f>"(sum lines "&amp;A61&amp;" - "&amp;A64&amp;")"</f>
        <v>(sum lines 47 - 50)</v>
      </c>
      <c r="E65" s="1">
        <f>SUM(E61:E64)</f>
        <v>13477230.80875</v>
      </c>
      <c r="F65" s="133"/>
      <c r="G65" s="133"/>
      <c r="H65" s="133"/>
      <c r="I65" s="133"/>
      <c r="J65" s="1">
        <f>SUM(J61:J64)</f>
        <v>3394450.7620563866</v>
      </c>
      <c r="K65" s="133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</row>
    <row r="66" spans="1:40" ht="15.75" thickBot="1">
      <c r="A66" s="55">
        <v>52</v>
      </c>
      <c r="B66" s="3"/>
      <c r="C66" s="3"/>
      <c r="D66" s="1"/>
      <c r="E66" s="211"/>
      <c r="F66" s="1"/>
      <c r="G66" s="1"/>
      <c r="H66" s="1"/>
      <c r="I66" s="1"/>
      <c r="J66" s="212"/>
      <c r="K66" s="1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</row>
    <row r="67" spans="1:40" ht="15.75" thickBot="1">
      <c r="A67" s="55">
        <v>53</v>
      </c>
      <c r="B67" s="3"/>
      <c r="C67" s="188" t="s">
        <v>10</v>
      </c>
      <c r="D67" s="1" t="str">
        <f>"(sum lines "&amp;A47&amp;", "&amp;A56&amp;", "&amp;A58&amp;", &amp; "&amp;A65&amp;")"</f>
        <v>(sum lines 33, 42, 44, &amp; 51)</v>
      </c>
      <c r="E67" s="213"/>
      <c r="F67" s="1"/>
      <c r="G67" s="1"/>
      <c r="H67" s="208"/>
      <c r="I67" s="1"/>
      <c r="J67" s="251">
        <f>+J65+J58+J56+J47</f>
        <v>160723158.63045764</v>
      </c>
      <c r="K67" s="1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</row>
    <row r="68" spans="1:40" ht="15.75" thickTop="1">
      <c r="A68" s="55"/>
      <c r="B68" s="3"/>
      <c r="C68" s="188"/>
      <c r="D68" s="1"/>
      <c r="E68" s="213"/>
      <c r="F68" s="1"/>
      <c r="G68" s="1"/>
      <c r="H68" s="208"/>
      <c r="I68" s="191" t="s">
        <v>320</v>
      </c>
      <c r="J68" s="214">
        <f>J1</f>
        <v>44469</v>
      </c>
      <c r="K68" s="1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</row>
    <row r="69" spans="1:40">
      <c r="A69" s="55"/>
      <c r="B69" s="3"/>
      <c r="C69" s="188"/>
      <c r="D69" s="1"/>
      <c r="E69" s="1"/>
      <c r="F69" s="1"/>
      <c r="G69" s="1"/>
      <c r="I69" s="191" t="str">
        <f>$I$2</f>
        <v>Service Year</v>
      </c>
      <c r="J69" s="133">
        <f>$J$2</f>
        <v>2022</v>
      </c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  <c r="AM69" s="192"/>
      <c r="AN69" s="192"/>
    </row>
    <row r="70" spans="1:40">
      <c r="A70" s="55"/>
      <c r="B70" s="3"/>
      <c r="C70" s="188"/>
      <c r="D70" s="1"/>
      <c r="E70" s="1"/>
      <c r="F70" s="1"/>
      <c r="G70" s="1"/>
      <c r="H70" s="1"/>
      <c r="I70" s="1"/>
      <c r="J70" s="1"/>
      <c r="K70" s="1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  <c r="AN70" s="192"/>
    </row>
    <row r="71" spans="1:40" ht="15.75">
      <c r="A71" s="319" t="s">
        <v>238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</row>
    <row r="72" spans="1:40" ht="15.75">
      <c r="A72" s="320" t="s">
        <v>134</v>
      </c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</row>
    <row r="73" spans="1:40">
      <c r="A73" s="3"/>
      <c r="B73" s="3"/>
      <c r="C73" s="133"/>
      <c r="D73" s="133"/>
      <c r="F73" s="133"/>
      <c r="G73" s="133"/>
      <c r="H73" s="133"/>
      <c r="I73" s="133"/>
      <c r="J73" s="133"/>
      <c r="K73" s="133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</row>
    <row r="74" spans="1:40" ht="15.75">
      <c r="A74" s="321" t="s">
        <v>237</v>
      </c>
      <c r="B74" s="321"/>
      <c r="C74" s="321"/>
      <c r="D74" s="321"/>
      <c r="E74" s="321"/>
      <c r="F74" s="321"/>
      <c r="G74" s="321"/>
      <c r="H74" s="321"/>
      <c r="I74" s="321"/>
      <c r="J74" s="321"/>
      <c r="K74" s="321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</row>
    <row r="75" spans="1:40">
      <c r="A75" s="55"/>
      <c r="B75" s="3"/>
      <c r="C75" s="196" t="s">
        <v>139</v>
      </c>
      <c r="D75" s="196" t="s">
        <v>140</v>
      </c>
      <c r="E75" s="196" t="s">
        <v>141</v>
      </c>
      <c r="F75" s="1" t="s">
        <v>133</v>
      </c>
      <c r="G75" s="1"/>
      <c r="H75" s="197" t="s">
        <v>142</v>
      </c>
      <c r="I75" s="1"/>
      <c r="J75" s="198" t="s">
        <v>143</v>
      </c>
      <c r="K75" s="1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</row>
    <row r="76" spans="1:40">
      <c r="A76" s="55"/>
      <c r="B76" s="3"/>
      <c r="C76" s="196"/>
      <c r="D76" s="2"/>
      <c r="E76" s="2"/>
      <c r="F76" s="2"/>
      <c r="G76" s="2"/>
      <c r="H76" s="2"/>
      <c r="I76" s="2"/>
      <c r="J76" s="2"/>
      <c r="K76" s="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</row>
    <row r="77" spans="1:40" ht="15.75">
      <c r="A77" s="55" t="s">
        <v>135</v>
      </c>
      <c r="B77" s="3"/>
      <c r="C77" s="188"/>
      <c r="D77" s="194" t="s">
        <v>144</v>
      </c>
      <c r="E77" s="1"/>
      <c r="F77" s="1"/>
      <c r="G77" s="201" t="str">
        <f>+G10</f>
        <v xml:space="preserve">      Allocator</v>
      </c>
      <c r="H77" s="55"/>
      <c r="I77" s="1"/>
      <c r="J77" s="193" t="s">
        <v>145</v>
      </c>
      <c r="K77" s="1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</row>
    <row r="78" spans="1:40" ht="16.5" thickBot="1">
      <c r="A78" s="204" t="s">
        <v>136</v>
      </c>
      <c r="B78" s="3"/>
      <c r="C78" s="188"/>
      <c r="D78" s="200" t="s">
        <v>146</v>
      </c>
      <c r="E78" s="193" t="s">
        <v>147</v>
      </c>
      <c r="F78" s="201"/>
      <c r="G78" s="202" t="str">
        <f>+G11</f>
        <v xml:space="preserve">        (page 4)</v>
      </c>
      <c r="H78" s="3"/>
      <c r="I78" s="201"/>
      <c r="J78" s="55" t="s">
        <v>148</v>
      </c>
      <c r="K78" s="1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</row>
    <row r="79" spans="1:40" ht="15.75">
      <c r="A79" s="3"/>
      <c r="B79" s="3"/>
      <c r="C79" s="188"/>
      <c r="D79" s="1"/>
      <c r="E79" s="215"/>
      <c r="F79" s="216"/>
      <c r="G79" s="217"/>
      <c r="H79" s="3"/>
      <c r="I79" s="216"/>
      <c r="J79" s="215"/>
      <c r="K79" s="1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</row>
    <row r="80" spans="1:40">
      <c r="A80" s="55"/>
      <c r="B80" s="3"/>
      <c r="C80" s="188" t="s">
        <v>170</v>
      </c>
      <c r="D80" s="1"/>
      <c r="E80" s="1"/>
      <c r="F80" s="1"/>
      <c r="G80" s="1"/>
      <c r="H80" s="1"/>
      <c r="I80" s="1"/>
      <c r="J80" s="1"/>
      <c r="K80" s="1"/>
      <c r="L80" s="192"/>
      <c r="M80" s="192"/>
      <c r="N80" s="218"/>
      <c r="O80" s="218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</row>
    <row r="81" spans="1:40" ht="15.75">
      <c r="A81" s="55">
        <f>+A67+1</f>
        <v>54</v>
      </c>
      <c r="B81" s="3"/>
      <c r="C81" s="188" t="s">
        <v>171</v>
      </c>
      <c r="D81" s="1" t="s">
        <v>102</v>
      </c>
      <c r="E81" s="275">
        <v>27933063</v>
      </c>
      <c r="F81" s="1"/>
      <c r="G81" s="1" t="s">
        <v>138</v>
      </c>
      <c r="H81" s="206">
        <f>+J144</f>
        <v>0.86519800000000002</v>
      </c>
      <c r="I81" s="1"/>
      <c r="J81" s="1">
        <f>+H81*E81</f>
        <v>24167630.241473999</v>
      </c>
      <c r="K81" s="133"/>
      <c r="L81" s="192"/>
      <c r="M81" s="303"/>
      <c r="N81" s="295"/>
      <c r="O81" s="218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</row>
    <row r="82" spans="1:40" ht="15.75">
      <c r="A82" s="55">
        <f>+A81+1</f>
        <v>55</v>
      </c>
      <c r="B82" s="3"/>
      <c r="C82" s="188" t="s">
        <v>36</v>
      </c>
      <c r="D82" s="1" t="s">
        <v>322</v>
      </c>
      <c r="E82" s="275">
        <v>25098727</v>
      </c>
      <c r="F82" s="1"/>
      <c r="G82" s="1" t="str">
        <f>+G81</f>
        <v>TP</v>
      </c>
      <c r="H82" s="206">
        <f>+H81</f>
        <v>0.86519800000000002</v>
      </c>
      <c r="I82" s="1"/>
      <c r="J82" s="1">
        <f t="shared" ref="J82:J89" si="1">+H82*E82</f>
        <v>21715368.402945999</v>
      </c>
      <c r="K82" s="133"/>
      <c r="L82" s="192"/>
      <c r="M82" s="303"/>
      <c r="N82" s="295"/>
      <c r="O82" s="218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</row>
    <row r="83" spans="1:40" ht="15.75">
      <c r="A83" s="55">
        <f>+A82+1</f>
        <v>56</v>
      </c>
      <c r="B83" s="3"/>
      <c r="C83" s="188" t="s">
        <v>172</v>
      </c>
      <c r="D83" s="1" t="s">
        <v>89</v>
      </c>
      <c r="E83" s="275">
        <v>32782909</v>
      </c>
      <c r="F83" s="1"/>
      <c r="G83" s="1" t="s">
        <v>156</v>
      </c>
      <c r="H83" s="206">
        <f>+H31</f>
        <v>0.11760231503676288</v>
      </c>
      <c r="I83" s="1"/>
      <c r="J83" s="1">
        <f t="shared" si="1"/>
        <v>3855345.9920395291</v>
      </c>
      <c r="K83" s="1"/>
      <c r="L83" s="192"/>
      <c r="M83" s="303"/>
      <c r="N83" s="295"/>
      <c r="O83" s="218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  <c r="AN83" s="192"/>
    </row>
    <row r="84" spans="1:40" ht="15.75">
      <c r="A84" s="55">
        <f>+A83+1</f>
        <v>57</v>
      </c>
      <c r="B84" s="3"/>
      <c r="C84" s="188" t="s">
        <v>33</v>
      </c>
      <c r="D84" s="1" t="s">
        <v>99</v>
      </c>
      <c r="E84" s="275">
        <v>418548</v>
      </c>
      <c r="F84" s="1"/>
      <c r="G84" s="1" t="s">
        <v>156</v>
      </c>
      <c r="H84" s="206">
        <v>1</v>
      </c>
      <c r="I84" s="1"/>
      <c r="J84" s="1">
        <f t="shared" si="1"/>
        <v>418548</v>
      </c>
      <c r="K84" s="1"/>
      <c r="L84" s="192"/>
      <c r="M84" s="303"/>
      <c r="N84" s="295"/>
      <c r="O84" s="218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</row>
    <row r="85" spans="1:40" ht="15.75">
      <c r="A85" s="55">
        <f>+A84+1</f>
        <v>58</v>
      </c>
      <c r="B85" s="3"/>
      <c r="C85" s="188" t="s">
        <v>231</v>
      </c>
      <c r="D85" s="1" t="s">
        <v>118</v>
      </c>
      <c r="E85" s="275">
        <v>227200</v>
      </c>
      <c r="F85" s="1"/>
      <c r="G85" s="1" t="str">
        <f>G83</f>
        <v>W/S</v>
      </c>
      <c r="H85" s="206">
        <f>H83</f>
        <v>0.11760231503676288</v>
      </c>
      <c r="I85" s="1"/>
      <c r="J85" s="1">
        <f t="shared" si="1"/>
        <v>26719.245976352526</v>
      </c>
      <c r="K85" s="1"/>
      <c r="L85" s="192"/>
      <c r="M85" s="303"/>
      <c r="N85" s="295"/>
      <c r="O85" s="218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</row>
    <row r="86" spans="1:40" ht="15.75">
      <c r="A86" s="55">
        <f t="shared" ref="A86:A122" si="2">+A85+1</f>
        <v>59</v>
      </c>
      <c r="B86" s="3"/>
      <c r="C86" s="188" t="s">
        <v>232</v>
      </c>
      <c r="D86" s="1" t="s">
        <v>119</v>
      </c>
      <c r="E86" s="275">
        <v>209561</v>
      </c>
      <c r="F86" s="1"/>
      <c r="G86" s="1" t="str">
        <f>+G85</f>
        <v>W/S</v>
      </c>
      <c r="H86" s="206">
        <f>+H85</f>
        <v>0.11760231503676288</v>
      </c>
      <c r="I86" s="1"/>
      <c r="J86" s="1">
        <f t="shared" si="1"/>
        <v>24644.858741419066</v>
      </c>
      <c r="K86" s="1"/>
      <c r="L86" s="192"/>
      <c r="M86" s="303"/>
      <c r="N86" s="295"/>
      <c r="O86" s="218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</row>
    <row r="87" spans="1:40" ht="15.75">
      <c r="A87" s="55">
        <f t="shared" si="2"/>
        <v>60</v>
      </c>
      <c r="B87" s="3"/>
      <c r="C87" s="188" t="s">
        <v>35</v>
      </c>
      <c r="D87" s="1"/>
      <c r="E87" s="275">
        <v>1563217.53</v>
      </c>
      <c r="F87" s="1"/>
      <c r="G87" s="1" t="str">
        <f>G83</f>
        <v>W/S</v>
      </c>
      <c r="H87" s="206">
        <f>H83</f>
        <v>0.11760231503676288</v>
      </c>
      <c r="I87" s="1"/>
      <c r="J87" s="1">
        <f t="shared" si="1"/>
        <v>183838.00043405034</v>
      </c>
      <c r="K87" s="1"/>
      <c r="L87" s="192"/>
      <c r="M87" s="303"/>
      <c r="N87" s="295"/>
      <c r="O87" s="218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</row>
    <row r="88" spans="1:40">
      <c r="A88" s="55">
        <f t="shared" si="2"/>
        <v>61</v>
      </c>
      <c r="B88" s="3"/>
      <c r="C88" s="188" t="s">
        <v>34</v>
      </c>
      <c r="D88" s="1" t="s">
        <v>371</v>
      </c>
      <c r="E88" s="1">
        <v>0</v>
      </c>
      <c r="F88" s="1"/>
      <c r="G88" s="252" t="str">
        <f>+G81</f>
        <v>TP</v>
      </c>
      <c r="H88" s="206">
        <f>+H81</f>
        <v>0.86519800000000002</v>
      </c>
      <c r="I88" s="1"/>
      <c r="J88" s="1">
        <f>+H88*E88</f>
        <v>0</v>
      </c>
      <c r="K88" s="1"/>
      <c r="L88" s="192"/>
      <c r="M88" s="192"/>
      <c r="N88" s="192"/>
      <c r="O88" s="218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</row>
    <row r="89" spans="1:40" ht="16.5" thickBot="1">
      <c r="A89" s="55">
        <f t="shared" si="2"/>
        <v>62</v>
      </c>
      <c r="B89" s="3"/>
      <c r="C89" s="188" t="s">
        <v>157</v>
      </c>
      <c r="D89" s="1" t="str">
        <f>+D34</f>
        <v>356.1</v>
      </c>
      <c r="E89" s="277">
        <v>0</v>
      </c>
      <c r="F89" s="1"/>
      <c r="G89" s="1" t="s">
        <v>189</v>
      </c>
      <c r="H89" s="206">
        <f>+H34</f>
        <v>0</v>
      </c>
      <c r="I89" s="1"/>
      <c r="J89" s="4">
        <f t="shared" si="1"/>
        <v>0</v>
      </c>
      <c r="K89" s="1"/>
      <c r="L89" s="219"/>
      <c r="M89" s="303"/>
      <c r="N89" s="218"/>
      <c r="O89" s="218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</row>
    <row r="90" spans="1:40">
      <c r="A90" s="55">
        <f t="shared" si="2"/>
        <v>63</v>
      </c>
      <c r="B90" s="3"/>
      <c r="C90" s="188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"/>
      <c r="E90" s="1">
        <f>+E81-E82+E83-E84-E87+E89+E88+E85-E86</f>
        <v>33653118.469999999</v>
      </c>
      <c r="F90" s="1"/>
      <c r="G90" s="1"/>
      <c r="H90" s="1"/>
      <c r="I90" s="1"/>
      <c r="J90" s="1">
        <f>+J81-J82+J83-J84-J87+J89+J88+J85-J86</f>
        <v>5707296.2173684118</v>
      </c>
      <c r="K90" s="1"/>
      <c r="L90" s="192"/>
      <c r="M90" s="192"/>
      <c r="N90" s="192"/>
      <c r="O90" s="218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  <c r="AN90" s="192"/>
    </row>
    <row r="91" spans="1:40">
      <c r="A91" s="55">
        <f t="shared" si="2"/>
        <v>64</v>
      </c>
      <c r="B91" s="3"/>
      <c r="C91" s="3"/>
      <c r="D91" s="1"/>
      <c r="E91" s="3"/>
      <c r="F91" s="1"/>
      <c r="G91" s="1"/>
      <c r="H91" s="1"/>
      <c r="I91" s="1"/>
      <c r="J91" s="3"/>
      <c r="K91" s="1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</row>
    <row r="92" spans="1:40">
      <c r="A92" s="55">
        <f t="shared" si="2"/>
        <v>65</v>
      </c>
      <c r="B92" s="3"/>
      <c r="C92" s="188" t="s">
        <v>123</v>
      </c>
      <c r="D92" s="1"/>
      <c r="E92" s="1"/>
      <c r="F92" s="1"/>
      <c r="G92" s="1"/>
      <c r="H92" s="1"/>
      <c r="I92" s="1"/>
      <c r="J92" s="1"/>
      <c r="K92" s="1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</row>
    <row r="93" spans="1:40">
      <c r="A93" s="55">
        <f t="shared" si="2"/>
        <v>66</v>
      </c>
      <c r="B93" s="3"/>
      <c r="C93" s="188" t="str">
        <f>+C16</f>
        <v xml:space="preserve">  Transmission</v>
      </c>
      <c r="D93" s="1" t="s">
        <v>323</v>
      </c>
      <c r="E93" s="275">
        <f>+E16*'BHP WP5 Depreciation Rates'!H21</f>
        <v>5594606.7132879999</v>
      </c>
      <c r="F93" s="1"/>
      <c r="G93" s="1" t="s">
        <v>138</v>
      </c>
      <c r="H93" s="206">
        <f>+J144</f>
        <v>0.86519800000000002</v>
      </c>
      <c r="I93" s="1"/>
      <c r="J93" s="1">
        <f>+H93*E93</f>
        <v>4840442.5391233508</v>
      </c>
      <c r="K93" s="1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</row>
    <row r="94" spans="1:40">
      <c r="A94" s="55">
        <f t="shared" si="2"/>
        <v>67</v>
      </c>
      <c r="B94" s="3"/>
      <c r="C94" s="188" t="str">
        <f>+C17</f>
        <v xml:space="preserve">  New Construction CUS Assets</v>
      </c>
      <c r="D94" s="188" t="s">
        <v>359</v>
      </c>
      <c r="E94" s="275">
        <f>'BHP WP2 Capital Additions'!F22</f>
        <v>591577.33360000001</v>
      </c>
      <c r="F94" s="1"/>
      <c r="G94" s="1" t="s">
        <v>138</v>
      </c>
      <c r="H94" s="206">
        <f>H93</f>
        <v>0.86519800000000002</v>
      </c>
      <c r="I94" s="1"/>
      <c r="J94" s="1">
        <f>+H94*E94</f>
        <v>511831.52587605285</v>
      </c>
      <c r="K94" s="1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</row>
    <row r="95" spans="1:40">
      <c r="A95" s="55">
        <f t="shared" si="2"/>
        <v>68</v>
      </c>
      <c r="B95" s="3"/>
      <c r="C95" s="188" t="str">
        <f>+C18</f>
        <v xml:space="preserve">  New Construction CUS Assets</v>
      </c>
      <c r="D95" s="188" t="s">
        <v>360</v>
      </c>
      <c r="E95" s="275">
        <f>'BHP WP3 Capital Additions'!F27</f>
        <v>104234.3085</v>
      </c>
      <c r="F95" s="1"/>
      <c r="G95" s="1" t="s">
        <v>138</v>
      </c>
      <c r="H95" s="206">
        <f>H94</f>
        <v>0.86519800000000002</v>
      </c>
      <c r="I95" s="1"/>
      <c r="J95" s="1">
        <f>+H95*E95</f>
        <v>90183.315245582999</v>
      </c>
      <c r="K95" s="1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</row>
    <row r="96" spans="1:40">
      <c r="A96" s="55">
        <f t="shared" si="2"/>
        <v>69</v>
      </c>
      <c r="B96" s="3"/>
      <c r="C96" s="188" t="s">
        <v>233</v>
      </c>
      <c r="D96" s="1" t="s">
        <v>324</v>
      </c>
      <c r="E96" s="275">
        <f>(E20+E22)*'BHP WP5 Depreciation Rates'!H35</f>
        <v>4425197.2438409999</v>
      </c>
      <c r="F96" s="1"/>
      <c r="G96" s="1" t="s">
        <v>156</v>
      </c>
      <c r="H96" s="206">
        <f>H83</f>
        <v>0.11760231503676288</v>
      </c>
      <c r="I96" s="1"/>
      <c r="J96" s="1">
        <f>+H96*E96</f>
        <v>520413.4403700041</v>
      </c>
      <c r="K96" s="1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</row>
    <row r="97" spans="1:40" ht="15.75" thickBot="1">
      <c r="A97" s="55">
        <f t="shared" si="2"/>
        <v>70</v>
      </c>
      <c r="B97" s="3"/>
      <c r="C97" s="188" t="str">
        <f>+C89</f>
        <v xml:space="preserve">  Common</v>
      </c>
      <c r="D97" s="1" t="s">
        <v>90</v>
      </c>
      <c r="E97" s="275">
        <v>0</v>
      </c>
      <c r="F97" s="1"/>
      <c r="G97" s="1" t="s">
        <v>189</v>
      </c>
      <c r="H97" s="206">
        <f>+H89</f>
        <v>0</v>
      </c>
      <c r="I97" s="1"/>
      <c r="J97" s="4">
        <f>+H97*E97</f>
        <v>0</v>
      </c>
      <c r="K97" s="1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</row>
    <row r="98" spans="1:40">
      <c r="A98" s="55">
        <f t="shared" si="2"/>
        <v>71</v>
      </c>
      <c r="B98" s="3"/>
      <c r="C98" s="188" t="str">
        <f>"TOTAL DEPRECIATION (Sum lines "&amp;A93&amp;" - "&amp;A97&amp;")"</f>
        <v>TOTAL DEPRECIATION (Sum lines 66 - 70)</v>
      </c>
      <c r="D98" s="1"/>
      <c r="E98" s="290">
        <f>SUM(E93:E97)</f>
        <v>10715615.599229001</v>
      </c>
      <c r="F98" s="1"/>
      <c r="G98" s="1"/>
      <c r="H98" s="1"/>
      <c r="I98" s="1"/>
      <c r="J98" s="1">
        <f>SUM(J93:J97)</f>
        <v>5962870.8206149898</v>
      </c>
      <c r="K98" s="1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92"/>
    </row>
    <row r="99" spans="1:40">
      <c r="A99" s="55">
        <f t="shared" si="2"/>
        <v>72</v>
      </c>
      <c r="B99" s="3"/>
      <c r="C99" s="188"/>
      <c r="D99" s="1"/>
      <c r="E99" s="65"/>
      <c r="F99" s="1"/>
      <c r="G99" s="1"/>
      <c r="H99" s="1"/>
      <c r="I99" s="1"/>
      <c r="J99" s="1"/>
      <c r="K99" s="1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</row>
    <row r="100" spans="1:40">
      <c r="A100" s="55">
        <f t="shared" si="2"/>
        <v>73</v>
      </c>
      <c r="B100" s="3"/>
      <c r="C100" s="188" t="s">
        <v>55</v>
      </c>
      <c r="D100" s="3"/>
      <c r="E100" s="1"/>
      <c r="F100" s="1"/>
      <c r="G100" s="1"/>
      <c r="H100" s="1"/>
      <c r="I100" s="1"/>
      <c r="J100" s="1"/>
      <c r="K100" s="1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</row>
    <row r="101" spans="1:40">
      <c r="A101" s="55">
        <f t="shared" si="2"/>
        <v>74</v>
      </c>
      <c r="B101" s="3"/>
      <c r="C101" s="188" t="s">
        <v>173</v>
      </c>
      <c r="D101" s="3"/>
      <c r="E101" s="253"/>
      <c r="F101" s="1"/>
      <c r="G101" s="1"/>
      <c r="H101" s="3"/>
      <c r="I101" s="1"/>
      <c r="J101" s="3"/>
      <c r="K101" s="1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</row>
    <row r="102" spans="1:40" ht="15.75">
      <c r="A102" s="55">
        <f t="shared" si="2"/>
        <v>75</v>
      </c>
      <c r="B102" s="3"/>
      <c r="C102" s="188" t="s">
        <v>174</v>
      </c>
      <c r="D102" s="1" t="s">
        <v>325</v>
      </c>
      <c r="E102" s="275">
        <f>31979+1841620+56843</f>
        <v>1930442</v>
      </c>
      <c r="F102" s="1"/>
      <c r="G102" s="1" t="s">
        <v>156</v>
      </c>
      <c r="H102" s="220">
        <f>+J176</f>
        <v>0.11760231503676288</v>
      </c>
      <c r="I102" s="1"/>
      <c r="J102" s="1">
        <f>+H102*E102</f>
        <v>227024.4482441986</v>
      </c>
      <c r="K102" s="1"/>
      <c r="L102" s="192"/>
      <c r="M102" s="303"/>
      <c r="N102" s="295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</row>
    <row r="103" spans="1:40">
      <c r="A103" s="55">
        <f t="shared" si="2"/>
        <v>76</v>
      </c>
      <c r="B103" s="3"/>
      <c r="C103" s="188" t="s">
        <v>175</v>
      </c>
      <c r="D103" s="1" t="s">
        <v>41</v>
      </c>
      <c r="E103" s="273">
        <v>0</v>
      </c>
      <c r="F103" s="1"/>
      <c r="G103" s="1" t="str">
        <f>+G102</f>
        <v>W/S</v>
      </c>
      <c r="H103" s="220">
        <f>+H102</f>
        <v>0.11760231503676288</v>
      </c>
      <c r="I103" s="1"/>
      <c r="J103" s="1">
        <f>+H103*E103</f>
        <v>0</v>
      </c>
      <c r="K103" s="1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</row>
    <row r="104" spans="1:40">
      <c r="A104" s="55">
        <f t="shared" si="2"/>
        <v>77</v>
      </c>
      <c r="B104" s="3"/>
      <c r="C104" s="188" t="s">
        <v>176</v>
      </c>
      <c r="D104" s="1" t="s">
        <v>133</v>
      </c>
      <c r="E104" s="1"/>
      <c r="F104" s="1"/>
      <c r="G104" s="1"/>
      <c r="H104" s="3"/>
      <c r="I104" s="1"/>
      <c r="J104" s="3"/>
      <c r="K104" s="1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</row>
    <row r="105" spans="1:40" ht="15.75">
      <c r="A105" s="55">
        <f t="shared" si="2"/>
        <v>78</v>
      </c>
      <c r="B105" s="3"/>
      <c r="C105" s="188" t="s">
        <v>177</v>
      </c>
      <c r="D105" s="1" t="s">
        <v>326</v>
      </c>
      <c r="E105" s="275">
        <v>8215840</v>
      </c>
      <c r="F105" s="1"/>
      <c r="G105" s="1" t="s">
        <v>169</v>
      </c>
      <c r="H105" s="220">
        <f>+H24</f>
        <v>0.16473400629904369</v>
      </c>
      <c r="I105" s="1"/>
      <c r="J105" s="1">
        <f>+H105*E105</f>
        <v>1353428.2383119352</v>
      </c>
      <c r="K105" s="1"/>
      <c r="L105" s="192"/>
      <c r="M105" s="303"/>
      <c r="N105" s="295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</row>
    <row r="106" spans="1:40">
      <c r="A106" s="55">
        <f t="shared" si="2"/>
        <v>79</v>
      </c>
      <c r="B106" s="3"/>
      <c r="C106" s="188" t="s">
        <v>178</v>
      </c>
      <c r="D106" s="1" t="s">
        <v>41</v>
      </c>
      <c r="E106" s="273">
        <v>0</v>
      </c>
      <c r="F106" s="1"/>
      <c r="G106" s="1" t="str">
        <f>+G50</f>
        <v>NA</v>
      </c>
      <c r="H106" s="221" t="s">
        <v>228</v>
      </c>
      <c r="I106" s="1"/>
      <c r="J106" s="1">
        <v>0</v>
      </c>
      <c r="K106" s="1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</row>
    <row r="107" spans="1:40" ht="15.75" thickBot="1">
      <c r="A107" s="55">
        <f t="shared" si="2"/>
        <v>80</v>
      </c>
      <c r="B107" s="3"/>
      <c r="C107" s="188" t="s">
        <v>179</v>
      </c>
      <c r="D107" s="1" t="str">
        <f>+D106</f>
        <v>263.i</v>
      </c>
      <c r="E107" s="274">
        <v>0</v>
      </c>
      <c r="F107" s="1"/>
      <c r="G107" s="1" t="str">
        <f>+G105</f>
        <v>GP</v>
      </c>
      <c r="H107" s="220">
        <f>+H105</f>
        <v>0.16473400629904369</v>
      </c>
      <c r="I107" s="1"/>
      <c r="J107" s="4">
        <f>+H107*E107</f>
        <v>0</v>
      </c>
      <c r="K107" s="1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  <c r="AN107" s="192"/>
    </row>
    <row r="108" spans="1:40">
      <c r="A108" s="55">
        <f t="shared" si="2"/>
        <v>81</v>
      </c>
      <c r="B108" s="3"/>
      <c r="C108" s="188" t="str">
        <f>"TOTAL OTHER TAXES  (sum lines "&amp;A102&amp;" - "&amp;A107&amp;")"</f>
        <v>TOTAL OTHER TAXES  (sum lines 75 - 80)</v>
      </c>
      <c r="D108" s="1"/>
      <c r="E108" s="1">
        <f>SUM(E102:E107)</f>
        <v>10146282</v>
      </c>
      <c r="F108" s="1"/>
      <c r="G108" s="1"/>
      <c r="H108" s="220"/>
      <c r="I108" s="1"/>
      <c r="J108" s="1">
        <f>SUM(J102:J107)</f>
        <v>1580452.6865561339</v>
      </c>
      <c r="K108" s="1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  <c r="AN108" s="192"/>
    </row>
    <row r="109" spans="1:40">
      <c r="A109" s="55">
        <f t="shared" si="2"/>
        <v>82</v>
      </c>
      <c r="B109" s="3"/>
      <c r="C109" s="188"/>
      <c r="D109" s="1"/>
      <c r="E109" s="1"/>
      <c r="F109" s="1"/>
      <c r="G109" s="1"/>
      <c r="H109" s="220"/>
      <c r="I109" s="1"/>
      <c r="J109" s="1"/>
      <c r="K109" s="1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</row>
    <row r="110" spans="1:40">
      <c r="A110" s="55">
        <f t="shared" si="2"/>
        <v>83</v>
      </c>
      <c r="B110" s="3"/>
      <c r="C110" s="188"/>
      <c r="D110" s="1"/>
      <c r="E110" s="1"/>
      <c r="F110" s="1"/>
      <c r="G110" s="1"/>
      <c r="H110" s="220"/>
      <c r="I110" s="1"/>
      <c r="J110" s="1"/>
      <c r="K110" s="1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</row>
    <row r="111" spans="1:40">
      <c r="A111" s="55">
        <f t="shared" si="2"/>
        <v>84</v>
      </c>
      <c r="B111" s="3"/>
      <c r="C111" s="188" t="s">
        <v>180</v>
      </c>
      <c r="D111" s="1" t="s">
        <v>54</v>
      </c>
      <c r="E111" s="1"/>
      <c r="F111" s="1"/>
      <c r="G111" s="3"/>
      <c r="H111" s="222"/>
      <c r="I111" s="1"/>
      <c r="J111" s="3"/>
      <c r="K111" s="1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</row>
    <row r="112" spans="1:40">
      <c r="A112" s="55">
        <f t="shared" si="2"/>
        <v>85</v>
      </c>
      <c r="B112" s="3"/>
      <c r="C112" s="223" t="s">
        <v>224</v>
      </c>
      <c r="D112" s="1"/>
      <c r="E112" s="254">
        <f>IF(E230&gt;0,1-(((1-E231)*(1-E230))/(1-E231*E230*E232)),0)</f>
        <v>0.20999999999999996</v>
      </c>
      <c r="F112" s="1"/>
      <c r="G112" s="3"/>
      <c r="H112" s="222"/>
      <c r="I112" s="1"/>
      <c r="J112" s="3"/>
      <c r="K112" s="1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</row>
    <row r="113" spans="1:40">
      <c r="A113" s="55">
        <f t="shared" si="2"/>
        <v>86</v>
      </c>
      <c r="B113" s="3"/>
      <c r="C113" s="3" t="s">
        <v>225</v>
      </c>
      <c r="D113" s="1"/>
      <c r="E113" s="254">
        <f>IF(J199&gt;0,(E112/(1-E112))*(1-J196/J199),0)</f>
        <v>0.18629391106940468</v>
      </c>
      <c r="F113" s="1"/>
      <c r="G113" s="3"/>
      <c r="H113" s="222"/>
      <c r="I113" s="1"/>
      <c r="J113" s="3"/>
      <c r="K113" s="1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  <c r="AN113" s="192"/>
    </row>
    <row r="114" spans="1:40">
      <c r="A114" s="55">
        <f t="shared" si="2"/>
        <v>87</v>
      </c>
      <c r="B114" s="3"/>
      <c r="C114" s="188" t="str">
        <f>"       where WCLTD=(line "&amp;A196&amp;") and R= (line "&amp;A199&amp;")"</f>
        <v xml:space="preserve">       where WCLTD=(line 156) and R= (line 159)</v>
      </c>
      <c r="D114" s="1"/>
      <c r="E114" s="1"/>
      <c r="F114" s="1"/>
      <c r="G114" s="3"/>
      <c r="H114" s="222"/>
      <c r="I114" s="1"/>
      <c r="J114" s="3"/>
      <c r="K114" s="1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</row>
    <row r="115" spans="1:40">
      <c r="A115" s="55">
        <f t="shared" si="2"/>
        <v>88</v>
      </c>
      <c r="B115" s="3"/>
      <c r="C115" s="188" t="s">
        <v>56</v>
      </c>
      <c r="D115" s="1"/>
      <c r="E115" s="1"/>
      <c r="F115" s="1"/>
      <c r="G115" s="3"/>
      <c r="H115" s="222"/>
      <c r="I115" s="1"/>
      <c r="J115" s="3"/>
      <c r="K115" s="1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</row>
    <row r="116" spans="1:40">
      <c r="A116" s="55">
        <f t="shared" si="2"/>
        <v>89</v>
      </c>
      <c r="B116" s="3"/>
      <c r="C116" s="223"/>
      <c r="D116" s="1"/>
      <c r="E116" s="224"/>
      <c r="F116" s="1"/>
      <c r="G116" s="3"/>
      <c r="H116" s="222"/>
      <c r="I116" s="1"/>
      <c r="J116" s="3"/>
      <c r="K116" s="1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</row>
    <row r="117" spans="1:40">
      <c r="A117" s="55">
        <f t="shared" si="2"/>
        <v>90</v>
      </c>
      <c r="B117" s="3"/>
      <c r="C117" s="255" t="s">
        <v>214</v>
      </c>
      <c r="D117" s="3" t="str">
        <f>"(line "&amp;A113&amp;" * line "&amp;A120&amp;")"</f>
        <v>(line 86 * line 93)</v>
      </c>
      <c r="E117" s="141"/>
      <c r="F117" s="1"/>
      <c r="G117" s="1" t="s">
        <v>133</v>
      </c>
      <c r="H117" s="220" t="s">
        <v>133</v>
      </c>
      <c r="I117" s="1"/>
      <c r="J117" s="1">
        <f>E113*J120</f>
        <v>2630081.9057102581</v>
      </c>
      <c r="K117" s="1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</row>
    <row r="118" spans="1:40">
      <c r="A118" s="55">
        <f t="shared" si="2"/>
        <v>91</v>
      </c>
      <c r="B118" s="3"/>
      <c r="C118" s="225"/>
      <c r="D118" s="226"/>
      <c r="E118" s="1"/>
      <c r="F118" s="1"/>
      <c r="G118" s="1"/>
      <c r="H118" s="220"/>
      <c r="I118" s="1"/>
      <c r="J118" s="1"/>
      <c r="K118" s="1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</row>
    <row r="119" spans="1:40">
      <c r="A119" s="55">
        <f t="shared" si="2"/>
        <v>92</v>
      </c>
      <c r="B119" s="3"/>
      <c r="C119" s="188" t="s">
        <v>181</v>
      </c>
      <c r="D119" s="208"/>
      <c r="E119" s="1"/>
      <c r="F119" s="1"/>
      <c r="K119" s="1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</row>
    <row r="120" spans="1:40" ht="17.25" customHeight="1">
      <c r="A120" s="55">
        <f t="shared" si="2"/>
        <v>93</v>
      </c>
      <c r="B120" s="3"/>
      <c r="C120" s="255" t="str">
        <f>"  [ Rate Base (line "&amp;A67&amp;") * R (line "&amp;A199&amp;")]"</f>
        <v xml:space="preserve">  [ Rate Base (line 53) * R (line 159)]</v>
      </c>
      <c r="D120" s="3"/>
      <c r="E120" s="1"/>
      <c r="F120" s="1"/>
      <c r="G120" s="1" t="s">
        <v>57</v>
      </c>
      <c r="H120" s="222"/>
      <c r="I120" s="1"/>
      <c r="J120" s="1">
        <f>+$J199*J67</f>
        <v>14117916.63298329</v>
      </c>
      <c r="K120" s="1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</row>
    <row r="121" spans="1:40">
      <c r="A121" s="55">
        <f t="shared" si="2"/>
        <v>94</v>
      </c>
      <c r="B121" s="3"/>
      <c r="C121" s="188"/>
      <c r="D121" s="3"/>
      <c r="E121" s="213"/>
      <c r="F121" s="1"/>
      <c r="G121" s="1"/>
      <c r="H121" s="222"/>
      <c r="I121" s="1"/>
      <c r="J121" s="213"/>
      <c r="K121" s="1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</row>
    <row r="122" spans="1:40" ht="15.75" thickBot="1">
      <c r="A122" s="55">
        <f t="shared" si="2"/>
        <v>95</v>
      </c>
      <c r="B122" s="3"/>
      <c r="C122" s="188" t="str">
        <f>"ESTIMATED REVENUE REQUIREMENT  (sum lines "&amp;A90&amp;", "&amp;A98&amp;", "&amp;A108&amp;", "&amp;A117&amp;", "&amp;A120&amp;")"</f>
        <v>ESTIMATED REVENUE REQUIREMENT  (sum lines 63, 71, 81, 90, 93)</v>
      </c>
      <c r="D122" s="1"/>
      <c r="E122" s="256">
        <f>E117+E108+E98+E90</f>
        <v>54515016.069228999</v>
      </c>
      <c r="F122" s="1"/>
      <c r="G122" s="1"/>
      <c r="H122" s="1"/>
      <c r="I122" s="1"/>
      <c r="J122" s="257">
        <f>J117+J108+J98+J90+J120</f>
        <v>29998618.263233084</v>
      </c>
      <c r="K122" s="133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  <c r="AM122" s="192"/>
      <c r="AN122" s="192"/>
    </row>
    <row r="123" spans="1:40" ht="15.75" thickTop="1">
      <c r="A123" s="55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2"/>
      <c r="AK123" s="192"/>
      <c r="AL123" s="192"/>
      <c r="AM123" s="192"/>
      <c r="AN123" s="192"/>
    </row>
    <row r="124" spans="1:40">
      <c r="A124" s="55"/>
      <c r="B124" s="3"/>
      <c r="C124" s="3"/>
      <c r="D124" s="3"/>
      <c r="E124" s="3"/>
      <c r="F124" s="3"/>
      <c r="G124" s="3"/>
      <c r="H124" s="3"/>
      <c r="I124" s="191" t="s">
        <v>320</v>
      </c>
      <c r="J124" s="227">
        <f>J1</f>
        <v>44469</v>
      </c>
      <c r="K124" s="1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2"/>
      <c r="AK124" s="192"/>
      <c r="AL124" s="192"/>
      <c r="AM124" s="192"/>
      <c r="AN124" s="192"/>
    </row>
    <row r="125" spans="1:40">
      <c r="A125" s="55"/>
      <c r="B125" s="3"/>
      <c r="C125" s="3"/>
      <c r="D125" s="3"/>
      <c r="E125" s="3"/>
      <c r="F125" s="3"/>
      <c r="G125" s="3"/>
      <c r="I125" s="191" t="str">
        <f>$I$2</f>
        <v>Service Year</v>
      </c>
      <c r="J125" s="133">
        <f>$J$2</f>
        <v>2022</v>
      </c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2"/>
      <c r="AM125" s="192"/>
      <c r="AN125" s="192"/>
    </row>
    <row r="126" spans="1:40" ht="15.75">
      <c r="A126" s="319" t="s">
        <v>238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2"/>
      <c r="AK126" s="192"/>
      <c r="AL126" s="192"/>
      <c r="AM126" s="192"/>
      <c r="AN126" s="192"/>
    </row>
    <row r="127" spans="1:40" ht="15.75">
      <c r="A127" s="320" t="s">
        <v>134</v>
      </c>
      <c r="B127" s="320"/>
      <c r="C127" s="320"/>
      <c r="D127" s="320"/>
      <c r="E127" s="320"/>
      <c r="F127" s="320"/>
      <c r="G127" s="320"/>
      <c r="H127" s="320"/>
      <c r="I127" s="320"/>
      <c r="J127" s="320"/>
      <c r="K127" s="320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2"/>
      <c r="AM127" s="192"/>
      <c r="AN127" s="192"/>
    </row>
    <row r="128" spans="1:40">
      <c r="A128" s="3"/>
      <c r="B128" s="3"/>
      <c r="C128" s="133"/>
      <c r="D128" s="133"/>
      <c r="F128" s="133"/>
      <c r="G128" s="133"/>
      <c r="H128" s="133"/>
      <c r="I128" s="133"/>
      <c r="J128" s="133"/>
      <c r="K128" s="133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2"/>
      <c r="AK128" s="192"/>
      <c r="AL128" s="192"/>
      <c r="AM128" s="192"/>
      <c r="AN128" s="192"/>
    </row>
    <row r="129" spans="1:40" ht="15.75">
      <c r="A129" s="321" t="s">
        <v>237</v>
      </c>
      <c r="B129" s="321"/>
      <c r="C129" s="321"/>
      <c r="D129" s="321"/>
      <c r="E129" s="321"/>
      <c r="F129" s="321"/>
      <c r="G129" s="321"/>
      <c r="H129" s="321"/>
      <c r="I129" s="321"/>
      <c r="J129" s="321"/>
      <c r="K129" s="321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2"/>
      <c r="AK129" s="192"/>
      <c r="AL129" s="192"/>
      <c r="AM129" s="192"/>
      <c r="AN129" s="192"/>
    </row>
    <row r="130" spans="1:40">
      <c r="A130" s="55"/>
      <c r="B130" s="3"/>
      <c r="C130" s="3"/>
      <c r="D130" s="188"/>
      <c r="E130" s="188"/>
      <c r="F130" s="188"/>
      <c r="G130" s="188"/>
      <c r="H130" s="188"/>
      <c r="I130" s="188"/>
      <c r="J130" s="188"/>
      <c r="K130" s="188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</row>
    <row r="131" spans="1:40" ht="15.75">
      <c r="A131" s="322" t="s">
        <v>3</v>
      </c>
      <c r="B131" s="322"/>
      <c r="C131" s="322"/>
      <c r="D131" s="322"/>
      <c r="E131" s="322"/>
      <c r="F131" s="322"/>
      <c r="G131" s="322"/>
      <c r="H131" s="322"/>
      <c r="I131" s="322"/>
      <c r="J131" s="322"/>
      <c r="K131" s="32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92"/>
    </row>
    <row r="132" spans="1:40" ht="15.75">
      <c r="A132" s="55"/>
      <c r="B132" s="3"/>
      <c r="C132" s="205"/>
      <c r="D132" s="133"/>
      <c r="E132" s="133"/>
      <c r="F132" s="133"/>
      <c r="G132" s="133"/>
      <c r="H132" s="133"/>
      <c r="I132" s="133"/>
      <c r="J132" s="133"/>
      <c r="K132" s="1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</row>
    <row r="133" spans="1:40" ht="15.75">
      <c r="A133" s="55" t="s">
        <v>135</v>
      </c>
      <c r="B133" s="3"/>
      <c r="C133" s="205"/>
      <c r="D133" s="133"/>
      <c r="E133" s="133"/>
      <c r="F133" s="133"/>
      <c r="G133" s="133"/>
      <c r="H133" s="133"/>
      <c r="I133" s="133"/>
      <c r="J133" s="133"/>
      <c r="K133" s="1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</row>
    <row r="134" spans="1:40" ht="15.75" thickBot="1">
      <c r="A134" s="204" t="s">
        <v>136</v>
      </c>
      <c r="B134" s="3"/>
      <c r="C134" s="189" t="s">
        <v>81</v>
      </c>
      <c r="D134" s="133"/>
      <c r="E134" s="133"/>
      <c r="F134" s="133"/>
      <c r="G134" s="133"/>
      <c r="H134" s="133"/>
      <c r="I134" s="3"/>
      <c r="J134" s="3"/>
      <c r="K134" s="1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  <c r="AN134" s="192"/>
    </row>
    <row r="135" spans="1:40" ht="15.75" thickBot="1">
      <c r="A135" s="55"/>
      <c r="B135" s="3"/>
      <c r="C135" s="189"/>
      <c r="D135" s="133"/>
      <c r="E135" s="4" t="s">
        <v>0</v>
      </c>
      <c r="F135" s="133"/>
      <c r="G135" s="133"/>
      <c r="H135" s="133"/>
      <c r="I135" s="133"/>
      <c r="J135" s="133"/>
      <c r="K135" s="1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  <c r="AN135" s="192"/>
    </row>
    <row r="136" spans="1:40" ht="16.5" customHeight="1">
      <c r="A136" s="55">
        <f>+A122+1</f>
        <v>96</v>
      </c>
      <c r="B136" s="3"/>
      <c r="C136" s="2" t="s">
        <v>71</v>
      </c>
      <c r="D136" s="133"/>
      <c r="E136" s="1" t="s">
        <v>372</v>
      </c>
      <c r="F136" s="1"/>
      <c r="G136" s="1"/>
      <c r="H136" s="1"/>
      <c r="I136" s="1"/>
      <c r="J136" s="1">
        <f>E16+E17+E18</f>
        <v>271138722.21500003</v>
      </c>
      <c r="K136" s="1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</row>
    <row r="137" spans="1:40" ht="15.75">
      <c r="A137" s="55">
        <f>+A136+1</f>
        <v>97</v>
      </c>
      <c r="B137" s="3"/>
      <c r="C137" s="2" t="s">
        <v>52</v>
      </c>
      <c r="D137" s="3"/>
      <c r="E137" s="3" t="s">
        <v>120</v>
      </c>
      <c r="F137" s="3"/>
      <c r="G137" s="3"/>
      <c r="H137" s="3"/>
      <c r="I137" s="3"/>
      <c r="J137" s="287">
        <v>38023019.666455001</v>
      </c>
      <c r="K137" s="1"/>
      <c r="L137" s="192"/>
      <c r="M137" s="303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2"/>
      <c r="AM137" s="192"/>
      <c r="AN137" s="192"/>
    </row>
    <row r="138" spans="1:40" ht="15.75" thickBot="1">
      <c r="A138" s="55">
        <f t="shared" ref="A138:A199" si="3">+A137+1</f>
        <v>98</v>
      </c>
      <c r="B138" s="3"/>
      <c r="C138" s="258" t="s">
        <v>53</v>
      </c>
      <c r="D138" s="228"/>
      <c r="E138" s="4" t="s">
        <v>120</v>
      </c>
      <c r="F138" s="1"/>
      <c r="G138" s="1"/>
      <c r="H138" s="229"/>
      <c r="I138" s="1"/>
      <c r="J138" s="4">
        <v>0</v>
      </c>
      <c r="K138" s="1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  <c r="AN138" s="192"/>
    </row>
    <row r="139" spans="1:40">
      <c r="A139" s="55">
        <f t="shared" si="3"/>
        <v>99</v>
      </c>
      <c r="B139" s="3"/>
      <c r="C139" s="2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33"/>
      <c r="E139" s="1"/>
      <c r="F139" s="1"/>
      <c r="G139" s="1"/>
      <c r="H139" s="229"/>
      <c r="I139" s="1"/>
      <c r="J139" s="1">
        <f>J136-J137-J138</f>
        <v>233115702.54854503</v>
      </c>
      <c r="K139" s="1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2"/>
      <c r="AM139" s="192"/>
      <c r="AN139" s="192"/>
    </row>
    <row r="140" spans="1:40">
      <c r="A140" s="55">
        <f t="shared" si="3"/>
        <v>100</v>
      </c>
      <c r="B140" s="3"/>
      <c r="C140" s="2" t="str">
        <f>"Plus Common Use AC Facilities (line "&amp;A150&amp;")"</f>
        <v>Plus Common Use AC Facilities (line 110)</v>
      </c>
      <c r="D140" s="133"/>
      <c r="E140" s="1"/>
      <c r="F140" s="1"/>
      <c r="G140" s="1"/>
      <c r="H140" s="229"/>
      <c r="I140" s="1"/>
      <c r="J140" s="1">
        <f>+J150</f>
        <v>10927521.329999998</v>
      </c>
      <c r="K140" s="1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2"/>
      <c r="AM140" s="192"/>
      <c r="AN140" s="192"/>
    </row>
    <row r="141" spans="1:40">
      <c r="A141" s="55">
        <f t="shared" si="3"/>
        <v>101</v>
      </c>
      <c r="B141" s="3"/>
      <c r="C141" s="2" t="str">
        <f>"Total Gross Plant for the CUS System (line "&amp;A139&amp;" plus line "&amp;A140&amp;")"</f>
        <v>Total Gross Plant for the CUS System (line 99 plus line 100)</v>
      </c>
      <c r="D141" s="133"/>
      <c r="E141" s="1"/>
      <c r="F141" s="1"/>
      <c r="G141" s="1"/>
      <c r="H141" s="229"/>
      <c r="I141" s="1"/>
      <c r="J141" s="142">
        <f>SUM(J139:J140)</f>
        <v>244043223.87854505</v>
      </c>
      <c r="K141" s="1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2"/>
      <c r="AK141" s="192"/>
      <c r="AL141" s="192"/>
      <c r="AM141" s="192"/>
      <c r="AN141" s="192"/>
    </row>
    <row r="142" spans="1:40">
      <c r="A142" s="55">
        <f t="shared" si="3"/>
        <v>102</v>
      </c>
      <c r="B142" s="3"/>
      <c r="C142" s="2" t="str">
        <f>"Total CUS Plant (line "&amp;A136&amp;" plus line "&amp;A150&amp;")"</f>
        <v>Total CUS Plant (line 96 plus line 110)</v>
      </c>
      <c r="D142" s="133"/>
      <c r="E142" s="1"/>
      <c r="F142" s="1"/>
      <c r="G142" s="1"/>
      <c r="H142" s="229"/>
      <c r="I142" s="1"/>
      <c r="J142" s="213">
        <f>+J136+J150</f>
        <v>282066243.54500002</v>
      </c>
      <c r="K142" s="1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2"/>
      <c r="AM142" s="192"/>
      <c r="AN142" s="192"/>
    </row>
    <row r="143" spans="1:40">
      <c r="A143" s="55">
        <f t="shared" si="3"/>
        <v>103</v>
      </c>
      <c r="B143" s="3"/>
      <c r="C143" s="3"/>
      <c r="D143" s="133"/>
      <c r="E143" s="1"/>
      <c r="F143" s="1"/>
      <c r="G143" s="1"/>
      <c r="H143" s="229"/>
      <c r="I143" s="1"/>
      <c r="J143" s="3"/>
      <c r="K143" s="1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2"/>
      <c r="AK143" s="192"/>
      <c r="AL143" s="192"/>
      <c r="AM143" s="192"/>
      <c r="AN143" s="192"/>
    </row>
    <row r="144" spans="1:40">
      <c r="A144" s="55">
        <f t="shared" si="3"/>
        <v>104</v>
      </c>
      <c r="B144" s="3"/>
      <c r="C144" s="2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195"/>
      <c r="E144" s="230"/>
      <c r="F144" s="230"/>
      <c r="G144" s="230"/>
      <c r="H144" s="198"/>
      <c r="I144" s="1" t="s">
        <v>182</v>
      </c>
      <c r="J144" s="231">
        <f>ROUND(IF(J142&gt;0,J141/J142,0),6)</f>
        <v>0.86519800000000002</v>
      </c>
      <c r="K144" s="1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192"/>
      <c r="AN144" s="192"/>
    </row>
    <row r="145" spans="1:40">
      <c r="A145" s="55">
        <f t="shared" si="3"/>
        <v>105</v>
      </c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2"/>
      <c r="AM145" s="192"/>
      <c r="AN145" s="192"/>
    </row>
    <row r="146" spans="1:40" ht="15.75" thickBot="1">
      <c r="A146" s="55">
        <f t="shared" si="3"/>
        <v>106</v>
      </c>
      <c r="B146" s="3"/>
      <c r="C146" s="189" t="s">
        <v>69</v>
      </c>
      <c r="D146" s="133"/>
      <c r="E146" s="4" t="s">
        <v>0</v>
      </c>
      <c r="F146" s="133"/>
      <c r="G146" s="133"/>
      <c r="H146" s="133"/>
      <c r="I146" s="133"/>
      <c r="J146" s="133"/>
      <c r="K146" s="3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</row>
    <row r="147" spans="1:40">
      <c r="A147" s="55">
        <f t="shared" si="3"/>
        <v>107</v>
      </c>
      <c r="B147" s="3"/>
      <c r="C147" s="2" t="s">
        <v>70</v>
      </c>
      <c r="D147" s="133"/>
      <c r="E147" s="1" t="str">
        <f>"Column (3) line "&amp;A19&amp;""</f>
        <v>Column (3) line 5</v>
      </c>
      <c r="F147" s="1"/>
      <c r="G147" s="1"/>
      <c r="H147" s="1"/>
      <c r="I147" s="1"/>
      <c r="J147" s="1">
        <f>+E19</f>
        <v>473031181.0200001</v>
      </c>
      <c r="K147" s="3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  <c r="AN147" s="192"/>
    </row>
    <row r="148" spans="1:40">
      <c r="A148" s="55">
        <f t="shared" si="3"/>
        <v>108</v>
      </c>
      <c r="B148" s="3"/>
      <c r="C148" s="2" t="s">
        <v>73</v>
      </c>
      <c r="D148" s="3"/>
      <c r="E148" s="3" t="s">
        <v>120</v>
      </c>
      <c r="F148" s="3"/>
      <c r="G148" s="3"/>
      <c r="H148" s="3"/>
      <c r="I148" s="3"/>
      <c r="J148" s="278">
        <f>+J147-J150</f>
        <v>462103659.69000012</v>
      </c>
      <c r="K148" s="3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K148" s="192"/>
      <c r="AL148" s="192"/>
      <c r="AM148" s="192"/>
      <c r="AN148" s="192"/>
    </row>
    <row r="149" spans="1:40" ht="15.75" thickBot="1">
      <c r="A149" s="55">
        <f t="shared" si="3"/>
        <v>109</v>
      </c>
      <c r="B149" s="3"/>
      <c r="C149" s="258" t="s">
        <v>74</v>
      </c>
      <c r="D149" s="228"/>
      <c r="E149" s="4" t="s">
        <v>120</v>
      </c>
      <c r="F149" s="1"/>
      <c r="G149" s="1"/>
      <c r="H149" s="229"/>
      <c r="I149" s="1"/>
      <c r="J149" s="4">
        <v>0</v>
      </c>
      <c r="K149" s="3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</row>
    <row r="150" spans="1:40" ht="15.75">
      <c r="A150" s="55">
        <f t="shared" si="3"/>
        <v>110</v>
      </c>
      <c r="B150" s="3"/>
      <c r="C150" s="2" t="str">
        <f>"Common Use AC Facilities (line "&amp;A147&amp;" less lines "&amp;A148&amp;" &amp; "&amp;A149&amp;")"</f>
        <v>Common Use AC Facilities (line 107 less lines 108 &amp; 109)</v>
      </c>
      <c r="D150" s="133"/>
      <c r="E150" s="1"/>
      <c r="F150" s="1"/>
      <c r="G150" s="1"/>
      <c r="H150" s="229"/>
      <c r="I150" s="1"/>
      <c r="J150" s="273">
        <v>10927521.329999998</v>
      </c>
      <c r="K150" s="3"/>
      <c r="L150" s="192"/>
      <c r="M150" s="303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  <c r="AN150" s="192"/>
    </row>
    <row r="151" spans="1:40">
      <c r="A151" s="55">
        <f t="shared" si="3"/>
        <v>111</v>
      </c>
      <c r="B151" s="3"/>
      <c r="C151" s="3"/>
      <c r="D151" s="133"/>
      <c r="E151" s="1"/>
      <c r="F151" s="1"/>
      <c r="G151" s="1"/>
      <c r="H151" s="229"/>
      <c r="I151" s="1"/>
      <c r="J151" s="3"/>
      <c r="K151" s="3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2"/>
      <c r="AN151" s="192"/>
    </row>
    <row r="152" spans="1:40">
      <c r="A152" s="55">
        <f t="shared" si="3"/>
        <v>112</v>
      </c>
      <c r="B152" s="3"/>
      <c r="C152" s="2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195"/>
      <c r="E152" s="230"/>
      <c r="F152" s="230"/>
      <c r="G152" s="230"/>
      <c r="H152" s="198"/>
      <c r="I152" s="1" t="s">
        <v>72</v>
      </c>
      <c r="J152" s="231">
        <f>ROUND(IF(J147&gt;0,J150/J147,0),6)</f>
        <v>2.3101E-2</v>
      </c>
      <c r="K152" s="3"/>
      <c r="L152" s="192"/>
      <c r="M152" s="192"/>
      <c r="N152" s="192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192"/>
      <c r="AK152" s="192"/>
      <c r="AL152" s="192"/>
      <c r="AM152" s="192"/>
      <c r="AN152" s="192"/>
    </row>
    <row r="153" spans="1:40">
      <c r="A153" s="55">
        <f t="shared" si="3"/>
        <v>113</v>
      </c>
      <c r="B153" s="3"/>
      <c r="C153" s="3"/>
      <c r="D153" s="133"/>
      <c r="E153" s="1"/>
      <c r="F153" s="1"/>
      <c r="G153" s="1"/>
      <c r="H153" s="229"/>
      <c r="I153" s="1"/>
      <c r="J153" s="3"/>
      <c r="K153" s="3"/>
      <c r="L153" s="192"/>
      <c r="M153" s="192"/>
      <c r="N153" s="192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2"/>
      <c r="AK153" s="192"/>
      <c r="AL153" s="192"/>
      <c r="AM153" s="192"/>
      <c r="AN153" s="192"/>
    </row>
    <row r="154" spans="1:40" ht="15.75" thickBot="1">
      <c r="A154" s="55">
        <f t="shared" si="3"/>
        <v>114</v>
      </c>
      <c r="B154" s="3"/>
      <c r="C154" s="189" t="s">
        <v>160</v>
      </c>
      <c r="D154" s="133"/>
      <c r="E154" s="4" t="s">
        <v>0</v>
      </c>
      <c r="F154" s="1"/>
      <c r="G154" s="1"/>
      <c r="H154" s="229"/>
      <c r="I154" s="1"/>
      <c r="J154" s="1"/>
      <c r="K154" s="3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192"/>
      <c r="AK154" s="192"/>
      <c r="AL154" s="192"/>
      <c r="AM154" s="192"/>
      <c r="AN154" s="192"/>
    </row>
    <row r="155" spans="1:40">
      <c r="A155" s="55">
        <f t="shared" si="3"/>
        <v>115</v>
      </c>
      <c r="B155" s="3"/>
      <c r="C155" s="3" t="s">
        <v>44</v>
      </c>
      <c r="D155" s="133"/>
      <c r="E155" s="1" t="s">
        <v>373</v>
      </c>
      <c r="F155" s="1"/>
      <c r="G155" s="1"/>
      <c r="H155" s="229"/>
      <c r="I155" s="1"/>
      <c r="J155" s="1">
        <f>SUM(E28:E29)</f>
        <v>53304284.941326603</v>
      </c>
      <c r="K155" s="3"/>
      <c r="L155" s="192"/>
      <c r="M155" s="192"/>
      <c r="N155" s="192"/>
      <c r="O155" s="192"/>
      <c r="P155" s="192"/>
      <c r="Q155" s="192"/>
      <c r="R155" s="192"/>
      <c r="S155" s="192"/>
      <c r="T155" s="192"/>
      <c r="U155" s="192"/>
      <c r="V155" s="192"/>
      <c r="W155" s="19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192"/>
      <c r="AJ155" s="192"/>
      <c r="AK155" s="192"/>
      <c r="AL155" s="192"/>
      <c r="AM155" s="192"/>
      <c r="AN155" s="192"/>
    </row>
    <row r="156" spans="1:40" ht="15.75">
      <c r="A156" s="55">
        <f t="shared" si="3"/>
        <v>116</v>
      </c>
      <c r="B156" s="3"/>
      <c r="C156" s="2" t="s">
        <v>312</v>
      </c>
      <c r="D156" s="133"/>
      <c r="E156" s="1" t="s">
        <v>120</v>
      </c>
      <c r="F156" s="1"/>
      <c r="G156" s="1"/>
      <c r="H156" s="229"/>
      <c r="I156" s="1"/>
      <c r="J156" s="287">
        <v>9038707.1104743704</v>
      </c>
      <c r="K156" s="3"/>
      <c r="L156" s="192"/>
      <c r="M156" s="303"/>
      <c r="N156" s="192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</row>
    <row r="157" spans="1:40">
      <c r="A157" s="55">
        <f t="shared" si="3"/>
        <v>117</v>
      </c>
      <c r="B157" s="3"/>
      <c r="C157" s="259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32"/>
      <c r="E157" s="142"/>
      <c r="F157" s="1"/>
      <c r="G157" s="1"/>
      <c r="H157" s="229"/>
      <c r="I157" s="1"/>
      <c r="J157" s="142">
        <f>J155-J156</f>
        <v>44265577.830852233</v>
      </c>
      <c r="K157" s="3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</row>
    <row r="158" spans="1:40">
      <c r="A158" s="55">
        <f t="shared" si="3"/>
        <v>118</v>
      </c>
      <c r="B158" s="3"/>
      <c r="C158" s="2" t="str">
        <f>"Plus Common Use AC Facilities Accumulated Depreciation (line "&amp;A167&amp;")"</f>
        <v>Plus Common Use AC Facilities Accumulated Depreciation (line 127)</v>
      </c>
      <c r="D158" s="233"/>
      <c r="E158" s="213"/>
      <c r="F158" s="1"/>
      <c r="G158" s="1"/>
      <c r="H158" s="229"/>
      <c r="I158" s="1"/>
      <c r="J158" s="213">
        <f>+J167</f>
        <v>4092361.29</v>
      </c>
      <c r="K158" s="3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</row>
    <row r="159" spans="1:40">
      <c r="A159" s="55">
        <f t="shared" si="3"/>
        <v>119</v>
      </c>
      <c r="B159" s="3"/>
      <c r="C159" s="2" t="str">
        <f>"Total Accumulated Depreciation for the CUS System (line "&amp;A157&amp;" plus line "&amp;A158&amp;")"</f>
        <v>Total Accumulated Depreciation for the CUS System (line 117 plus line 118)</v>
      </c>
      <c r="D159" s="233"/>
      <c r="E159" s="213"/>
      <c r="F159" s="1"/>
      <c r="G159" s="1"/>
      <c r="H159" s="229"/>
      <c r="I159" s="1"/>
      <c r="J159" s="142">
        <f>SUM(J157:J158)</f>
        <v>48357939.120852232</v>
      </c>
      <c r="K159" s="3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2"/>
      <c r="AK159" s="192"/>
      <c r="AL159" s="192"/>
      <c r="AM159" s="192"/>
      <c r="AN159" s="192"/>
    </row>
    <row r="160" spans="1:40">
      <c r="A160" s="55">
        <f t="shared" si="3"/>
        <v>120</v>
      </c>
      <c r="B160" s="3"/>
      <c r="C160" s="2" t="str">
        <f>"Total CUS Accumulated Depreciation (line "&amp;A155&amp;" plus line "&amp;A158&amp;")"</f>
        <v>Total CUS Accumulated Depreciation (line 115 plus line 118)</v>
      </c>
      <c r="D160" s="233"/>
      <c r="E160" s="213"/>
      <c r="F160" s="1"/>
      <c r="G160" s="1"/>
      <c r="H160" s="229"/>
      <c r="I160" s="1"/>
      <c r="J160" s="213">
        <f>+J155+J158</f>
        <v>57396646.231326602</v>
      </c>
      <c r="K160" s="3"/>
      <c r="L160" s="192"/>
      <c r="M160" s="192"/>
      <c r="N160" s="192"/>
      <c r="O160" s="192"/>
      <c r="P160" s="192"/>
      <c r="Q160" s="192"/>
      <c r="R160" s="192"/>
      <c r="S160" s="192"/>
      <c r="T160" s="192"/>
      <c r="U160" s="192"/>
      <c r="V160" s="192"/>
      <c r="W160" s="192"/>
      <c r="X160" s="192"/>
      <c r="Y160" s="192"/>
      <c r="Z160" s="192"/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2"/>
      <c r="AK160" s="192"/>
      <c r="AL160" s="192"/>
      <c r="AM160" s="192"/>
      <c r="AN160" s="192"/>
    </row>
    <row r="161" spans="1:40">
      <c r="A161" s="55">
        <f t="shared" si="3"/>
        <v>121</v>
      </c>
      <c r="B161" s="3"/>
      <c r="C161" s="3"/>
      <c r="D161" s="133"/>
      <c r="E161" s="1"/>
      <c r="F161" s="1"/>
      <c r="G161" s="1"/>
      <c r="H161" s="229"/>
      <c r="I161" s="1"/>
      <c r="J161" s="1"/>
      <c r="K161" s="3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2"/>
      <c r="AK161" s="192"/>
      <c r="AL161" s="192"/>
      <c r="AM161" s="192"/>
      <c r="AN161" s="192"/>
    </row>
    <row r="162" spans="1:40">
      <c r="A162" s="55">
        <f t="shared" si="3"/>
        <v>122</v>
      </c>
      <c r="B162" s="3"/>
      <c r="C162" s="2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33"/>
      <c r="E162" s="1"/>
      <c r="F162" s="1"/>
      <c r="G162" s="1"/>
      <c r="H162" s="229"/>
      <c r="I162" s="1" t="s">
        <v>45</v>
      </c>
      <c r="J162" s="231">
        <f>ROUND(IF(J160&gt;0,J159/J160,0),6)</f>
        <v>0.84252199999999999</v>
      </c>
      <c r="K162" s="3"/>
      <c r="L162" s="192"/>
      <c r="M162" s="192"/>
      <c r="N162" s="192"/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2"/>
      <c r="Z162" s="192"/>
      <c r="AA162" s="192"/>
      <c r="AB162" s="192"/>
      <c r="AC162" s="192"/>
      <c r="AD162" s="192"/>
      <c r="AE162" s="192"/>
      <c r="AF162" s="192"/>
      <c r="AG162" s="192"/>
      <c r="AH162" s="192"/>
      <c r="AI162" s="192"/>
      <c r="AJ162" s="192"/>
      <c r="AK162" s="192"/>
      <c r="AL162" s="192"/>
      <c r="AM162" s="192"/>
      <c r="AN162" s="192"/>
    </row>
    <row r="163" spans="1:40">
      <c r="A163" s="55">
        <f t="shared" si="3"/>
        <v>123</v>
      </c>
      <c r="B163" s="3"/>
      <c r="C163" s="3"/>
      <c r="D163" s="133"/>
      <c r="E163" s="1"/>
      <c r="F163" s="1"/>
      <c r="G163" s="1"/>
      <c r="H163" s="229"/>
      <c r="I163" s="1"/>
      <c r="J163" s="1"/>
      <c r="K163" s="3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2"/>
      <c r="Z163" s="192"/>
      <c r="AA163" s="192"/>
      <c r="AB163" s="192"/>
      <c r="AC163" s="192"/>
      <c r="AD163" s="192"/>
      <c r="AE163" s="192"/>
      <c r="AF163" s="192"/>
      <c r="AG163" s="192"/>
      <c r="AH163" s="192"/>
      <c r="AI163" s="192"/>
      <c r="AJ163" s="192"/>
      <c r="AK163" s="192"/>
      <c r="AL163" s="192"/>
      <c r="AM163" s="192"/>
      <c r="AN163" s="192"/>
    </row>
    <row r="164" spans="1:40" ht="15.75" thickBot="1">
      <c r="A164" s="55">
        <f t="shared" si="3"/>
        <v>124</v>
      </c>
      <c r="B164" s="3"/>
      <c r="C164" s="3"/>
      <c r="D164" s="133"/>
      <c r="E164" s="4" t="s">
        <v>0</v>
      </c>
      <c r="F164" s="1"/>
      <c r="G164" s="1"/>
      <c r="H164" s="229"/>
      <c r="I164" s="1"/>
      <c r="J164" s="1"/>
      <c r="K164" s="3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2"/>
      <c r="AK164" s="192"/>
      <c r="AL164" s="192"/>
      <c r="AM164" s="192"/>
      <c r="AN164" s="192"/>
    </row>
    <row r="165" spans="1:40">
      <c r="A165" s="55">
        <f t="shared" si="3"/>
        <v>125</v>
      </c>
      <c r="B165" s="3"/>
      <c r="C165" s="3" t="s">
        <v>47</v>
      </c>
      <c r="D165" s="133"/>
      <c r="E165" s="1" t="s">
        <v>87</v>
      </c>
      <c r="F165" s="1"/>
      <c r="G165" s="1"/>
      <c r="H165" s="229"/>
      <c r="I165" s="1"/>
      <c r="J165" s="1">
        <f>+E30</f>
        <v>154227433.02753505</v>
      </c>
      <c r="K165" s="3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192"/>
      <c r="AJ165" s="192"/>
      <c r="AK165" s="192"/>
      <c r="AL165" s="192"/>
      <c r="AM165" s="192"/>
      <c r="AN165" s="192"/>
    </row>
    <row r="166" spans="1:40">
      <c r="A166" s="55">
        <f t="shared" si="3"/>
        <v>126</v>
      </c>
      <c r="B166" s="3"/>
      <c r="C166" s="3" t="s">
        <v>121</v>
      </c>
      <c r="D166" s="133"/>
      <c r="E166" s="1"/>
      <c r="F166" s="1"/>
      <c r="G166" s="1"/>
      <c r="H166" s="229"/>
      <c r="I166" s="1"/>
      <c r="J166" s="278">
        <f>+J165-J167</f>
        <v>150135071.73753506</v>
      </c>
      <c r="K166" s="3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B166" s="192"/>
      <c r="AC166" s="192"/>
      <c r="AD166" s="192"/>
      <c r="AE166" s="192"/>
      <c r="AF166" s="192"/>
      <c r="AG166" s="192"/>
      <c r="AH166" s="192"/>
      <c r="AI166" s="192"/>
      <c r="AJ166" s="192"/>
      <c r="AK166" s="192"/>
      <c r="AL166" s="192"/>
      <c r="AM166" s="192"/>
      <c r="AN166" s="192"/>
    </row>
    <row r="167" spans="1:40" ht="15.75">
      <c r="A167" s="55">
        <f t="shared" si="3"/>
        <v>127</v>
      </c>
      <c r="B167" s="3"/>
      <c r="C167" s="260" t="str">
        <f>"Common Use AC Facilities (line "&amp;A165&amp;" less line "&amp;A166&amp;")"</f>
        <v>Common Use AC Facilities (line 125 less line 126)</v>
      </c>
      <c r="D167" s="232"/>
      <c r="E167" s="142"/>
      <c r="F167" s="1"/>
      <c r="G167" s="1"/>
      <c r="H167" s="229"/>
      <c r="I167" s="1"/>
      <c r="J167" s="288">
        <v>4092361.29</v>
      </c>
      <c r="K167" s="3"/>
      <c r="L167" s="192"/>
      <c r="M167" s="303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</row>
    <row r="168" spans="1:40">
      <c r="A168" s="55">
        <f t="shared" si="3"/>
        <v>128</v>
      </c>
      <c r="B168" s="3"/>
      <c r="C168" s="3"/>
      <c r="D168" s="133"/>
      <c r="E168" s="1"/>
      <c r="F168" s="1"/>
      <c r="G168" s="1"/>
      <c r="H168" s="229"/>
      <c r="I168" s="1"/>
      <c r="J168" s="1"/>
      <c r="K168" s="3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</row>
    <row r="169" spans="1:40">
      <c r="A169" s="55">
        <f t="shared" si="3"/>
        <v>129</v>
      </c>
      <c r="B169" s="3"/>
      <c r="C169" s="2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33"/>
      <c r="E169" s="1"/>
      <c r="F169" s="1"/>
      <c r="G169" s="1"/>
      <c r="H169" s="229"/>
      <c r="I169" s="1" t="s">
        <v>48</v>
      </c>
      <c r="J169" s="231">
        <f>ROUND(IF(J165&gt;0,J167/J165,0),6)</f>
        <v>2.6535E-2</v>
      </c>
      <c r="K169" s="3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</row>
    <row r="170" spans="1:40">
      <c r="A170" s="55">
        <f t="shared" si="3"/>
        <v>130</v>
      </c>
      <c r="B170" s="3"/>
      <c r="C170" s="3"/>
      <c r="D170" s="133"/>
      <c r="E170" s="1"/>
      <c r="F170" s="1"/>
      <c r="G170" s="1"/>
      <c r="H170" s="229"/>
      <c r="I170" s="1"/>
      <c r="J170" s="1"/>
      <c r="K170" s="3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</row>
    <row r="171" spans="1:40">
      <c r="A171" s="55">
        <f t="shared" si="3"/>
        <v>131</v>
      </c>
      <c r="B171" s="3"/>
      <c r="C171" s="188" t="s">
        <v>183</v>
      </c>
      <c r="D171" s="1"/>
      <c r="E171" s="1"/>
      <c r="F171" s="1"/>
      <c r="G171" s="1"/>
      <c r="H171" s="1"/>
      <c r="I171" s="1"/>
      <c r="J171" s="1"/>
      <c r="K171" s="1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</row>
    <row r="172" spans="1:40" ht="15.75" thickBot="1">
      <c r="A172" s="55">
        <f t="shared" si="3"/>
        <v>132</v>
      </c>
      <c r="B172" s="3"/>
      <c r="C172" s="188"/>
      <c r="D172" s="4" t="s">
        <v>184</v>
      </c>
      <c r="E172" s="234" t="s">
        <v>185</v>
      </c>
      <c r="F172" s="234" t="s">
        <v>138</v>
      </c>
      <c r="G172" s="1"/>
      <c r="H172" s="234" t="s">
        <v>186</v>
      </c>
      <c r="I172" s="213"/>
      <c r="J172" s="235"/>
      <c r="K172" s="1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</row>
    <row r="173" spans="1:40" ht="15.75">
      <c r="A173" s="55">
        <f t="shared" si="3"/>
        <v>133</v>
      </c>
      <c r="B173" s="3"/>
      <c r="C173" s="188" t="s">
        <v>153</v>
      </c>
      <c r="D173" s="1" t="s">
        <v>91</v>
      </c>
      <c r="E173" s="275">
        <v>1897888</v>
      </c>
      <c r="F173" s="261">
        <f>+J144</f>
        <v>0.86519800000000002</v>
      </c>
      <c r="G173" s="3"/>
      <c r="H173" s="1">
        <f>E173*F173</f>
        <v>1642048.9018240001</v>
      </c>
      <c r="I173" s="213"/>
      <c r="J173" s="236"/>
      <c r="K173" s="1"/>
      <c r="L173" s="192"/>
      <c r="M173" s="303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</row>
    <row r="174" spans="1:40" ht="15.75">
      <c r="A174" s="55">
        <f t="shared" si="3"/>
        <v>134</v>
      </c>
      <c r="B174" s="3"/>
      <c r="C174" s="188" t="s">
        <v>105</v>
      </c>
      <c r="D174" s="1" t="s">
        <v>106</v>
      </c>
      <c r="E174" s="275">
        <v>28241935</v>
      </c>
      <c r="F174" s="261">
        <v>0</v>
      </c>
      <c r="G174" s="261"/>
      <c r="H174" s="1">
        <f>E174*F174</f>
        <v>0</v>
      </c>
      <c r="I174" s="213"/>
      <c r="J174" s="235" t="s">
        <v>187</v>
      </c>
      <c r="K174" s="1"/>
      <c r="L174" s="192"/>
      <c r="M174" s="303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</row>
    <row r="175" spans="1:40" ht="16.5" thickBot="1">
      <c r="A175" s="55">
        <f t="shared" si="3"/>
        <v>135</v>
      </c>
      <c r="B175" s="3"/>
      <c r="C175" s="188" t="s">
        <v>107</v>
      </c>
      <c r="D175" s="1" t="s">
        <v>108</v>
      </c>
      <c r="E175" s="285">
        <v>-14279209</v>
      </c>
      <c r="F175" s="261">
        <v>0</v>
      </c>
      <c r="G175" s="261"/>
      <c r="H175" s="4">
        <f>E175*F175</f>
        <v>0</v>
      </c>
      <c r="I175" s="213"/>
      <c r="J175" s="204" t="s">
        <v>188</v>
      </c>
      <c r="K175" s="1"/>
      <c r="L175" s="192"/>
      <c r="M175" s="303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</row>
    <row r="176" spans="1:40">
      <c r="A176" s="55">
        <f t="shared" si="3"/>
        <v>136</v>
      </c>
      <c r="B176" s="3"/>
      <c r="C176" s="188" t="str">
        <f>"  Adjusted Total  (sum lines "&amp;A174&amp;"-"&amp;A175&amp;")"</f>
        <v xml:space="preserve">  Adjusted Total  (sum lines 134-135)</v>
      </c>
      <c r="D176" s="1"/>
      <c r="E176" s="1">
        <f>SUM(E174:E175)</f>
        <v>13962726</v>
      </c>
      <c r="F176" s="1"/>
      <c r="G176" s="3"/>
      <c r="H176" s="1">
        <f>SUM(H173:H175)</f>
        <v>1642048.9018240001</v>
      </c>
      <c r="I176" s="1" t="s">
        <v>58</v>
      </c>
      <c r="J176" s="206">
        <f>IF(E176&gt;0,+H176/E176,0)</f>
        <v>0.11760231503676288</v>
      </c>
      <c r="K176" s="229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</row>
    <row r="177" spans="1:40">
      <c r="A177" s="55">
        <f t="shared" si="3"/>
        <v>137</v>
      </c>
      <c r="B177" s="3"/>
      <c r="C177" s="188"/>
      <c r="D177" s="1"/>
      <c r="E177" s="1"/>
      <c r="F177" s="1"/>
      <c r="G177" s="1"/>
      <c r="H177" s="1"/>
      <c r="I177" s="1"/>
      <c r="J177" s="1"/>
      <c r="K177" s="1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</row>
    <row r="178" spans="1:40" ht="15.75" thickBot="1">
      <c r="A178" s="55">
        <f t="shared" si="3"/>
        <v>138</v>
      </c>
      <c r="B178" s="3"/>
      <c r="C178" s="188" t="s">
        <v>92</v>
      </c>
      <c r="D178" s="1"/>
      <c r="E178" s="234" t="s">
        <v>185</v>
      </c>
      <c r="F178" s="234" t="s">
        <v>192</v>
      </c>
      <c r="G178" s="210" t="s">
        <v>138</v>
      </c>
      <c r="H178" s="237" t="s">
        <v>95</v>
      </c>
      <c r="I178" s="222"/>
      <c r="J178" s="208"/>
      <c r="K178" s="3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</row>
    <row r="179" spans="1:40">
      <c r="A179" s="55">
        <f t="shared" si="3"/>
        <v>139</v>
      </c>
      <c r="B179" s="3"/>
      <c r="C179" s="188" t="s">
        <v>93</v>
      </c>
      <c r="D179" s="1" t="str">
        <f>"lines "&amp;A39&amp;", "&amp;A40&amp;" &amp; "&amp;A41&amp;""</f>
        <v>lines 25, 26 &amp; 27</v>
      </c>
      <c r="E179" s="1">
        <f>E39+E40+E41</f>
        <v>217834437.27367339</v>
      </c>
      <c r="F179" s="262">
        <f>IF(E181&gt;0,+E179/E181,0)</f>
        <v>0.40592422092669633</v>
      </c>
      <c r="G179" s="263">
        <f>+J144</f>
        <v>0.86519800000000002</v>
      </c>
      <c r="H179" s="264">
        <f>IF(F179&gt;0,+G179*F179,0)</f>
        <v>0.35120482409733583</v>
      </c>
      <c r="I179" s="265"/>
      <c r="J179" s="55"/>
      <c r="K179" s="1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</row>
    <row r="180" spans="1:40">
      <c r="A180" s="55">
        <f t="shared" si="3"/>
        <v>140</v>
      </c>
      <c r="B180" s="3"/>
      <c r="C180" s="188" t="s">
        <v>94</v>
      </c>
      <c r="D180" s="1" t="str">
        <f>"line "&amp;A42&amp;""</f>
        <v>line 28</v>
      </c>
      <c r="E180" s="1">
        <f>E42</f>
        <v>318803747.99246502</v>
      </c>
      <c r="F180" s="262">
        <f>IF(E181&gt;0,+E180/E181,0)</f>
        <v>0.59407577907330356</v>
      </c>
      <c r="G180" s="3"/>
      <c r="H180" s="220"/>
      <c r="I180" s="229"/>
      <c r="J180" s="220"/>
      <c r="K180" s="22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</row>
    <row r="181" spans="1:40">
      <c r="A181" s="55">
        <f t="shared" si="3"/>
        <v>141</v>
      </c>
      <c r="B181" s="3"/>
      <c r="C181" s="188" t="str">
        <f>"  Total  (sum lines "&amp;A179&amp;" - "&amp;A180&amp;")"</f>
        <v xml:space="preserve">  Total  (sum lines 139 - 140)</v>
      </c>
      <c r="D181" s="1"/>
      <c r="E181" s="142">
        <f>SUM(E179:E180)</f>
        <v>536638185.26613843</v>
      </c>
      <c r="F181" s="266">
        <f>SUM(F179:F180)</f>
        <v>0.99999999999999989</v>
      </c>
      <c r="G181" s="1"/>
      <c r="H181" s="1"/>
      <c r="I181" s="1" t="s">
        <v>96</v>
      </c>
      <c r="J181" s="238">
        <f>+H179</f>
        <v>0.35120482409733583</v>
      </c>
      <c r="K181" s="1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</row>
    <row r="182" spans="1:40">
      <c r="A182" s="55">
        <f t="shared" si="3"/>
        <v>142</v>
      </c>
      <c r="B182" s="3"/>
      <c r="C182" s="188"/>
      <c r="D182" s="1"/>
      <c r="E182" s="3"/>
      <c r="F182" s="1"/>
      <c r="G182" s="1"/>
      <c r="H182" s="1"/>
      <c r="I182" s="1"/>
      <c r="J182" s="238"/>
      <c r="K182" s="1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</row>
    <row r="183" spans="1:40" s="241" customFormat="1" ht="15.75" thickBot="1">
      <c r="A183" s="55">
        <f t="shared" si="3"/>
        <v>143</v>
      </c>
      <c r="B183" s="239"/>
      <c r="C183" s="240" t="s">
        <v>190</v>
      </c>
      <c r="D183" s="210" t="s">
        <v>184</v>
      </c>
      <c r="E183" s="1"/>
      <c r="F183" s="1"/>
      <c r="G183" s="1"/>
      <c r="H183" s="1"/>
      <c r="I183" s="1"/>
      <c r="J183" s="234" t="s">
        <v>185</v>
      </c>
      <c r="K183" s="1"/>
      <c r="L183" s="192"/>
    </row>
    <row r="184" spans="1:40">
      <c r="A184" s="55">
        <f t="shared" si="3"/>
        <v>144</v>
      </c>
      <c r="B184" s="239"/>
      <c r="C184" s="133" t="s">
        <v>242</v>
      </c>
      <c r="D184" s="1" t="s">
        <v>327</v>
      </c>
      <c r="E184" s="1"/>
      <c r="F184" s="1"/>
      <c r="G184" s="1"/>
      <c r="H184" s="1"/>
      <c r="I184" s="1"/>
      <c r="J184" s="279">
        <f>20222493+282461+269788</f>
        <v>20774742</v>
      </c>
      <c r="K184" s="1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</row>
    <row r="185" spans="1:40">
      <c r="A185" s="55">
        <f t="shared" si="3"/>
        <v>145</v>
      </c>
      <c r="B185" s="241"/>
      <c r="C185" s="188"/>
      <c r="D185" s="1"/>
      <c r="E185" s="1"/>
      <c r="F185" s="1"/>
      <c r="G185" s="1"/>
      <c r="H185" s="1"/>
      <c r="I185" s="1"/>
      <c r="J185" s="1"/>
      <c r="K185" s="1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</row>
    <row r="186" spans="1:40">
      <c r="A186" s="55">
        <f t="shared" si="3"/>
        <v>146</v>
      </c>
      <c r="B186" s="239"/>
      <c r="C186" s="188" t="s">
        <v>243</v>
      </c>
      <c r="D186" s="1" t="s">
        <v>244</v>
      </c>
      <c r="E186" s="1"/>
      <c r="F186" s="1"/>
      <c r="G186" s="1"/>
      <c r="H186" s="1"/>
      <c r="I186" s="1"/>
      <c r="J186" s="275">
        <v>0</v>
      </c>
      <c r="K186" s="1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</row>
    <row r="187" spans="1:40">
      <c r="A187" s="55">
        <f t="shared" si="3"/>
        <v>147</v>
      </c>
      <c r="B187" s="239"/>
      <c r="C187" s="188"/>
      <c r="D187" s="1"/>
      <c r="E187" s="1"/>
      <c r="F187" s="1"/>
      <c r="G187" s="1"/>
      <c r="H187" s="1"/>
      <c r="I187" s="1"/>
      <c r="J187" s="1"/>
      <c r="K187" s="1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</row>
    <row r="188" spans="1:40">
      <c r="A188" s="55">
        <f t="shared" si="3"/>
        <v>148</v>
      </c>
      <c r="B188" s="239"/>
      <c r="C188" s="240" t="s">
        <v>245</v>
      </c>
      <c r="D188" s="210" t="s">
        <v>184</v>
      </c>
      <c r="E188" s="1"/>
      <c r="F188" s="1"/>
      <c r="G188" s="1"/>
      <c r="H188" s="1"/>
      <c r="I188" s="1"/>
      <c r="J188" s="1"/>
      <c r="K188" s="1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</row>
    <row r="189" spans="1:40">
      <c r="A189" s="55">
        <f t="shared" si="3"/>
        <v>149</v>
      </c>
      <c r="B189" s="239"/>
      <c r="C189" s="188" t="s">
        <v>13</v>
      </c>
      <c r="D189" s="1" t="s">
        <v>246</v>
      </c>
      <c r="E189" s="133"/>
      <c r="F189" s="1"/>
      <c r="G189" s="1"/>
      <c r="H189" s="1"/>
      <c r="I189" s="1"/>
      <c r="J189" s="275">
        <v>473913964</v>
      </c>
      <c r="K189" s="1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</row>
    <row r="190" spans="1:40">
      <c r="A190" s="55">
        <f t="shared" si="3"/>
        <v>150</v>
      </c>
      <c r="B190" s="239"/>
      <c r="C190" s="188" t="s">
        <v>247</v>
      </c>
      <c r="D190" s="1" t="s">
        <v>248</v>
      </c>
      <c r="E190" s="1"/>
      <c r="F190" s="1"/>
      <c r="G190" s="1"/>
      <c r="H190" s="1"/>
      <c r="I190" s="1"/>
      <c r="J190" s="275">
        <v>0</v>
      </c>
      <c r="K190" s="1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</row>
    <row r="191" spans="1:40">
      <c r="A191" s="55">
        <f t="shared" si="3"/>
        <v>151</v>
      </c>
      <c r="B191" s="239"/>
      <c r="C191" s="188" t="s">
        <v>249</v>
      </c>
      <c r="D191" s="1" t="s">
        <v>250</v>
      </c>
      <c r="E191" s="1"/>
      <c r="F191" s="1"/>
      <c r="G191" s="1"/>
      <c r="H191" s="1"/>
      <c r="I191" s="1"/>
      <c r="J191" s="279">
        <v>0</v>
      </c>
      <c r="K191" s="1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</row>
    <row r="192" spans="1:40" ht="15.75" thickBot="1">
      <c r="A192" s="55">
        <f t="shared" si="3"/>
        <v>152</v>
      </c>
      <c r="B192" s="239"/>
      <c r="C192" s="188" t="s">
        <v>251</v>
      </c>
      <c r="D192" s="1" t="s">
        <v>252</v>
      </c>
      <c r="E192" s="1"/>
      <c r="F192" s="1"/>
      <c r="G192" s="1"/>
      <c r="H192" s="1"/>
      <c r="I192" s="1"/>
      <c r="J192" s="276">
        <v>1420318</v>
      </c>
      <c r="K192" s="1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</row>
    <row r="193" spans="1:40">
      <c r="A193" s="55">
        <f t="shared" si="3"/>
        <v>153</v>
      </c>
      <c r="B193" s="239"/>
      <c r="C193" s="267" t="s">
        <v>253</v>
      </c>
      <c r="D193" s="1"/>
      <c r="E193" s="133" t="str">
        <f>"(sum lines "&amp;A189&amp;"-"&amp;A192&amp;")"</f>
        <v>(sum lines 149-152)</v>
      </c>
      <c r="F193" s="133"/>
      <c r="G193" s="133"/>
      <c r="H193" s="133"/>
      <c r="I193" s="133"/>
      <c r="J193" s="65">
        <f>SUM(J189:J192)</f>
        <v>475334282</v>
      </c>
      <c r="K193" s="1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</row>
    <row r="194" spans="1:40">
      <c r="A194" s="55">
        <f t="shared" si="3"/>
        <v>154</v>
      </c>
      <c r="B194" s="3"/>
      <c r="C194" s="188"/>
      <c r="D194" s="1"/>
      <c r="E194" s="1"/>
      <c r="F194" s="1"/>
      <c r="G194" s="1"/>
      <c r="H194" s="229"/>
      <c r="I194" s="1"/>
      <c r="J194" s="1"/>
      <c r="K194" s="1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</row>
    <row r="195" spans="1:40" ht="15.75" thickBot="1">
      <c r="A195" s="55">
        <f t="shared" si="3"/>
        <v>155</v>
      </c>
      <c r="B195" s="3"/>
      <c r="C195" s="188"/>
      <c r="D195" s="4" t="s">
        <v>184</v>
      </c>
      <c r="E195" s="242" t="s">
        <v>185</v>
      </c>
      <c r="F195" s="204" t="s">
        <v>192</v>
      </c>
      <c r="G195" s="1"/>
      <c r="H195" s="204" t="s">
        <v>191</v>
      </c>
      <c r="I195" s="1"/>
      <c r="J195" s="204" t="s">
        <v>193</v>
      </c>
      <c r="K195" s="1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</row>
    <row r="196" spans="1:40" ht="15.75">
      <c r="A196" s="55">
        <f t="shared" si="3"/>
        <v>156</v>
      </c>
      <c r="B196" s="3"/>
      <c r="C196" s="189" t="s">
        <v>240</v>
      </c>
      <c r="D196" s="268" t="s">
        <v>301</v>
      </c>
      <c r="E196" s="273">
        <v>339922030</v>
      </c>
      <c r="F196" s="269">
        <v>0.43</v>
      </c>
      <c r="G196" s="270"/>
      <c r="H196" s="280">
        <f>IF(E196&gt;0,+J184/E196,0)</f>
        <v>6.1116197735110019E-2</v>
      </c>
      <c r="I196" s="3"/>
      <c r="J196" s="262">
        <f>H196*F196</f>
        <v>2.6279965026097307E-2</v>
      </c>
      <c r="K196" s="243"/>
      <c r="L196" s="192"/>
      <c r="M196" s="303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</row>
    <row r="197" spans="1:40">
      <c r="A197" s="55">
        <f t="shared" si="3"/>
        <v>157</v>
      </c>
      <c r="B197" s="3"/>
      <c r="C197" s="189" t="s">
        <v>241</v>
      </c>
      <c r="D197" s="203" t="s">
        <v>248</v>
      </c>
      <c r="E197" s="275">
        <v>0</v>
      </c>
      <c r="F197" s="269">
        <f>IF($E$199&gt;0,E197/$E$199,0)</f>
        <v>0</v>
      </c>
      <c r="G197" s="270"/>
      <c r="H197" s="262">
        <f>IF(E197&gt;0,J186/E197,0)</f>
        <v>0</v>
      </c>
      <c r="I197" s="3"/>
      <c r="J197" s="262">
        <f>H197*F197</f>
        <v>0</v>
      </c>
      <c r="K197" s="1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</row>
    <row r="198" spans="1:40" ht="15.75" thickBot="1">
      <c r="A198" s="55">
        <f t="shared" si="3"/>
        <v>158</v>
      </c>
      <c r="B198" s="3"/>
      <c r="C198" s="267" t="s">
        <v>254</v>
      </c>
      <c r="D198" s="203" t="str">
        <f>"(see above line "&amp;A193&amp;")"</f>
        <v>(see above line 153)</v>
      </c>
      <c r="E198" s="4">
        <f>+J193</f>
        <v>475334282</v>
      </c>
      <c r="F198" s="269">
        <v>0.56999999999999995</v>
      </c>
      <c r="G198" s="3" t="s">
        <v>122</v>
      </c>
      <c r="H198" s="262">
        <v>0.108</v>
      </c>
      <c r="I198" s="3" t="s">
        <v>122</v>
      </c>
      <c r="J198" s="271">
        <f>H198*F198</f>
        <v>6.1559999999999997E-2</v>
      </c>
      <c r="K198" s="1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</row>
    <row r="199" spans="1:40">
      <c r="A199" s="55">
        <f t="shared" si="3"/>
        <v>159</v>
      </c>
      <c r="B199" s="3"/>
      <c r="C199" s="188" t="str">
        <f>"Total  (sum lines "&amp;A196&amp;"-"&amp;A198&amp;")"</f>
        <v>Total  (sum lines 156-158)</v>
      </c>
      <c r="D199" s="3"/>
      <c r="E199" s="1">
        <f>E198+E197+E196</f>
        <v>815256312</v>
      </c>
      <c r="F199" s="1" t="s">
        <v>133</v>
      </c>
      <c r="G199" s="1"/>
      <c r="H199" s="1"/>
      <c r="I199" s="1" t="s">
        <v>270</v>
      </c>
      <c r="J199" s="262">
        <f>SUM(J196:J198)</f>
        <v>8.7839965026097311E-2</v>
      </c>
      <c r="K199" s="243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</row>
    <row r="200" spans="1:40">
      <c r="A200" s="55"/>
      <c r="B200" s="3"/>
      <c r="C200" s="188"/>
      <c r="D200" s="3"/>
      <c r="E200" s="1"/>
      <c r="F200" s="1"/>
      <c r="G200" s="1"/>
      <c r="H200" s="1"/>
      <c r="I200" s="141" t="s">
        <v>320</v>
      </c>
      <c r="J200" s="272">
        <f>J1</f>
        <v>44469</v>
      </c>
      <c r="K200" s="243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</row>
    <row r="201" spans="1:40">
      <c r="A201" s="3"/>
      <c r="B201" s="3"/>
      <c r="C201" s="3"/>
      <c r="D201" s="3"/>
      <c r="E201" s="3"/>
      <c r="F201" s="1"/>
      <c r="G201" s="1"/>
      <c r="I201" s="191" t="str">
        <f>$I$2</f>
        <v>Service Year</v>
      </c>
      <c r="J201" s="133">
        <f>$J$2</f>
        <v>2022</v>
      </c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</row>
    <row r="202" spans="1:40">
      <c r="A202" s="55"/>
      <c r="B202" s="3"/>
      <c r="C202" s="188"/>
      <c r="D202" s="133"/>
      <c r="E202" s="1"/>
      <c r="F202" s="1"/>
      <c r="G202" s="1"/>
      <c r="H202" s="1"/>
      <c r="I202" s="133"/>
      <c r="J202" s="1"/>
      <c r="K202" s="133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</row>
    <row r="203" spans="1:40" ht="15.75">
      <c r="A203" s="319" t="s">
        <v>238</v>
      </c>
      <c r="B203" s="319"/>
      <c r="C203" s="319"/>
      <c r="D203" s="319"/>
      <c r="E203" s="319"/>
      <c r="F203" s="319"/>
      <c r="G203" s="319"/>
      <c r="H203" s="319"/>
      <c r="I203" s="319"/>
      <c r="J203" s="319"/>
      <c r="K203" s="319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</row>
    <row r="204" spans="1:40" ht="15.75">
      <c r="A204" s="320" t="s">
        <v>134</v>
      </c>
      <c r="B204" s="320"/>
      <c r="C204" s="320"/>
      <c r="D204" s="320"/>
      <c r="E204" s="320"/>
      <c r="F204" s="320"/>
      <c r="G204" s="320"/>
      <c r="H204" s="320"/>
      <c r="I204" s="320"/>
      <c r="J204" s="320"/>
      <c r="K204" s="320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</row>
    <row r="205" spans="1:40">
      <c r="A205" s="3"/>
      <c r="B205" s="3"/>
      <c r="C205" s="133"/>
      <c r="D205" s="133"/>
      <c r="F205" s="133"/>
      <c r="G205" s="133"/>
      <c r="H205" s="133"/>
      <c r="I205" s="133"/>
      <c r="J205" s="133"/>
      <c r="K205" s="133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</row>
    <row r="206" spans="1:40" ht="15.75">
      <c r="A206" s="321" t="s">
        <v>237</v>
      </c>
      <c r="B206" s="321"/>
      <c r="C206" s="321"/>
      <c r="D206" s="321"/>
      <c r="E206" s="321"/>
      <c r="F206" s="321"/>
      <c r="G206" s="321"/>
      <c r="H206" s="321"/>
      <c r="I206" s="321"/>
      <c r="J206" s="321"/>
      <c r="K206" s="321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</row>
    <row r="207" spans="1:40">
      <c r="A207" s="55"/>
      <c r="B207" s="2"/>
      <c r="C207" s="244"/>
      <c r="D207" s="55"/>
      <c r="E207" s="1"/>
      <c r="F207" s="1"/>
      <c r="G207" s="1"/>
      <c r="H207" s="1"/>
      <c r="I207" s="2"/>
      <c r="J207" s="245"/>
      <c r="K207" s="246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</row>
    <row r="208" spans="1:40">
      <c r="A208" s="55"/>
      <c r="B208" s="2"/>
      <c r="C208" s="189"/>
      <c r="D208" s="55"/>
      <c r="E208" s="1"/>
      <c r="F208" s="1"/>
      <c r="G208" s="1"/>
      <c r="H208" s="1"/>
      <c r="I208" s="2"/>
      <c r="J208" s="1"/>
      <c r="K208" s="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</row>
    <row r="209" spans="1:40">
      <c r="A209" s="55" t="s">
        <v>194</v>
      </c>
      <c r="B209" s="2"/>
      <c r="C209" s="189"/>
      <c r="D209" s="2"/>
      <c r="E209" s="1"/>
      <c r="F209" s="1"/>
      <c r="G209" s="1"/>
      <c r="H209" s="1"/>
      <c r="I209" s="2"/>
      <c r="J209" s="1"/>
      <c r="K209" s="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</row>
    <row r="210" spans="1:40" ht="15.75" thickBot="1">
      <c r="A210" s="204" t="s">
        <v>195</v>
      </c>
      <c r="B210" s="2"/>
      <c r="C210" s="189"/>
      <c r="D210" s="2"/>
      <c r="E210" s="1"/>
      <c r="F210" s="1"/>
      <c r="G210" s="1"/>
      <c r="H210" s="1"/>
      <c r="I210" s="2"/>
      <c r="J210" s="1"/>
      <c r="K210" s="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</row>
    <row r="211" spans="1:40">
      <c r="A211" s="55"/>
      <c r="B211" s="2"/>
      <c r="C211" s="189"/>
      <c r="D211" s="2"/>
      <c r="E211" s="1"/>
      <c r="F211" s="1"/>
      <c r="G211" s="1"/>
      <c r="H211" s="1"/>
      <c r="I211" s="2"/>
      <c r="J211" s="1"/>
      <c r="K211" s="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</row>
    <row r="212" spans="1:40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</row>
    <row r="213" spans="1:40">
      <c r="A213" s="55" t="s">
        <v>196</v>
      </c>
      <c r="B213" s="2"/>
      <c r="C213" s="2" t="s">
        <v>272</v>
      </c>
      <c r="D213" s="2"/>
      <c r="E213" s="2"/>
      <c r="F213" s="2"/>
      <c r="G213" s="2"/>
      <c r="H213" s="2"/>
      <c r="I213" s="2"/>
      <c r="J213" s="2"/>
      <c r="K213" s="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</row>
    <row r="214" spans="1:40">
      <c r="A214" s="55"/>
      <c r="B214" s="2"/>
      <c r="C214" s="2" t="s">
        <v>50</v>
      </c>
      <c r="D214" s="2"/>
      <c r="E214" s="2"/>
      <c r="F214" s="2"/>
      <c r="G214" s="2"/>
      <c r="H214" s="2"/>
      <c r="I214" s="2"/>
      <c r="J214" s="2"/>
      <c r="K214" s="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</row>
    <row r="215" spans="1:40">
      <c r="A215" s="55"/>
      <c r="B215" s="2"/>
      <c r="C215" s="2" t="s">
        <v>78</v>
      </c>
      <c r="D215" s="2"/>
      <c r="E215" s="2"/>
      <c r="F215" s="2"/>
      <c r="G215" s="2"/>
      <c r="H215" s="2"/>
      <c r="I215" s="2"/>
      <c r="J215" s="2"/>
      <c r="K215" s="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</row>
    <row r="216" spans="1:40">
      <c r="A216" s="55" t="s">
        <v>197</v>
      </c>
      <c r="B216" s="2"/>
      <c r="C216" s="2" t="s">
        <v>203</v>
      </c>
      <c r="D216" s="2"/>
      <c r="E216" s="2"/>
      <c r="F216" s="2"/>
      <c r="G216" s="2"/>
      <c r="H216" s="2"/>
      <c r="I216" s="2"/>
      <c r="J216" s="2"/>
      <c r="K216" s="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</row>
    <row r="217" spans="1:40">
      <c r="A217" s="55" t="s">
        <v>198</v>
      </c>
      <c r="B217" s="2"/>
      <c r="C217" s="2" t="s">
        <v>42</v>
      </c>
      <c r="D217" s="2"/>
      <c r="E217" s="2"/>
      <c r="F217" s="2"/>
      <c r="G217" s="2"/>
      <c r="H217" s="2"/>
      <c r="I217" s="2"/>
      <c r="J217" s="2"/>
      <c r="K217" s="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</row>
    <row r="218" spans="1:40">
      <c r="A218" s="55" t="s">
        <v>199</v>
      </c>
      <c r="B218" s="2"/>
      <c r="C218" s="2" t="s">
        <v>51</v>
      </c>
      <c r="D218" s="2"/>
      <c r="E218" s="2"/>
      <c r="F218" s="2"/>
      <c r="G218" s="2"/>
      <c r="H218" s="2"/>
      <c r="I218" s="2"/>
      <c r="J218" s="2"/>
      <c r="K218" s="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</row>
    <row r="219" spans="1:40">
      <c r="A219" s="55" t="s">
        <v>200</v>
      </c>
      <c r="B219" s="2"/>
      <c r="C219" s="2" t="s">
        <v>306</v>
      </c>
      <c r="D219" s="2"/>
      <c r="E219" s="2"/>
      <c r="F219" s="2"/>
      <c r="G219" s="2"/>
      <c r="H219" s="2"/>
      <c r="I219" s="2"/>
      <c r="J219" s="2"/>
      <c r="K219" s="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</row>
    <row r="220" spans="1:40">
      <c r="A220" s="55"/>
      <c r="B220" s="2"/>
      <c r="C220" s="3" t="s">
        <v>100</v>
      </c>
      <c r="D220" s="2"/>
      <c r="E220" s="2"/>
      <c r="F220" s="2"/>
      <c r="G220" s="2"/>
      <c r="H220" s="2"/>
      <c r="I220" s="2"/>
      <c r="J220" s="2"/>
      <c r="K220" s="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</row>
    <row r="221" spans="1:40">
      <c r="A221" s="55" t="s">
        <v>201</v>
      </c>
      <c r="B221" s="2"/>
      <c r="C221" s="2" t="s">
        <v>206</v>
      </c>
      <c r="D221" s="2"/>
      <c r="E221" s="2"/>
      <c r="F221" s="2"/>
      <c r="G221" s="2"/>
      <c r="H221" s="2"/>
      <c r="I221" s="2"/>
      <c r="J221" s="2"/>
      <c r="K221" s="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</row>
    <row r="222" spans="1:40">
      <c r="A222" s="55"/>
      <c r="B222" s="2"/>
      <c r="C222" s="2" t="s">
        <v>132</v>
      </c>
      <c r="D222" s="2"/>
      <c r="E222" s="2"/>
      <c r="F222" s="2"/>
      <c r="G222" s="2"/>
      <c r="H222" s="2"/>
      <c r="I222" s="2"/>
      <c r="J222" s="2"/>
      <c r="K222" s="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</row>
    <row r="223" spans="1:40">
      <c r="A223" s="55"/>
      <c r="B223" s="2"/>
      <c r="C223" s="2" t="s">
        <v>229</v>
      </c>
      <c r="D223" s="2"/>
      <c r="E223" s="2"/>
      <c r="F223" s="2"/>
      <c r="G223" s="2"/>
      <c r="H223" s="2"/>
      <c r="I223" s="2"/>
      <c r="J223" s="2"/>
      <c r="K223" s="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</row>
    <row r="224" spans="1:40">
      <c r="A224" s="55" t="s">
        <v>202</v>
      </c>
      <c r="B224" s="2"/>
      <c r="C224" s="2" t="s">
        <v>213</v>
      </c>
      <c r="D224" s="2"/>
      <c r="E224" s="2"/>
      <c r="F224" s="2"/>
      <c r="G224" s="2"/>
      <c r="H224" s="2"/>
      <c r="I224" s="2"/>
      <c r="J224" s="2"/>
      <c r="K224" s="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</row>
    <row r="225" spans="1:40">
      <c r="A225" s="55"/>
      <c r="B225" s="2"/>
      <c r="C225" s="2" t="s">
        <v>215</v>
      </c>
      <c r="D225" s="2"/>
      <c r="E225" s="2"/>
      <c r="F225" s="2"/>
      <c r="G225" s="2"/>
      <c r="H225" s="2"/>
      <c r="I225" s="2"/>
      <c r="J225" s="2"/>
      <c r="K225" s="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</row>
    <row r="226" spans="1:40">
      <c r="A226" s="55"/>
      <c r="B226" s="2"/>
      <c r="C226" s="2" t="s">
        <v>216</v>
      </c>
      <c r="D226" s="2"/>
      <c r="E226" s="2"/>
      <c r="F226" s="2"/>
      <c r="G226" s="2"/>
      <c r="H226" s="2"/>
      <c r="I226" s="2"/>
      <c r="J226" s="2"/>
      <c r="K226" s="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</row>
    <row r="227" spans="1:40">
      <c r="A227" s="55"/>
      <c r="B227" s="2"/>
      <c r="C227" s="2" t="s">
        <v>217</v>
      </c>
      <c r="D227" s="2"/>
      <c r="E227" s="2"/>
      <c r="F227" s="2"/>
      <c r="G227" s="2"/>
      <c r="H227" s="2"/>
      <c r="I227" s="2"/>
      <c r="J227" s="2"/>
      <c r="K227" s="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</row>
    <row r="228" spans="1:40">
      <c r="A228" s="55"/>
      <c r="B228" s="2"/>
      <c r="C228" s="2" t="s">
        <v>218</v>
      </c>
      <c r="D228" s="2"/>
      <c r="E228" s="2"/>
      <c r="F228" s="2"/>
      <c r="G228" s="2"/>
      <c r="H228" s="2"/>
      <c r="I228" s="2"/>
      <c r="J228" s="2"/>
      <c r="K228" s="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</row>
    <row r="229" spans="1:40">
      <c r="A229" s="55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</row>
    <row r="230" spans="1:40">
      <c r="A230" s="55" t="s">
        <v>133</v>
      </c>
      <c r="B230" s="2"/>
      <c r="C230" s="2" t="s">
        <v>226</v>
      </c>
      <c r="D230" s="2" t="s">
        <v>219</v>
      </c>
      <c r="E230" s="286">
        <v>0.21</v>
      </c>
      <c r="F230" s="2"/>
      <c r="G230" s="2"/>
      <c r="H230" s="2"/>
      <c r="I230" s="2"/>
      <c r="J230" s="2"/>
      <c r="K230" s="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</row>
    <row r="231" spans="1:40">
      <c r="A231" s="55"/>
      <c r="B231" s="2"/>
      <c r="C231" s="2"/>
      <c r="D231" s="2" t="s">
        <v>220</v>
      </c>
      <c r="E231" s="247">
        <v>0</v>
      </c>
      <c r="F231" s="2" t="s">
        <v>221</v>
      </c>
      <c r="G231" s="2"/>
      <c r="H231" s="2"/>
      <c r="I231" s="2"/>
      <c r="J231" s="2"/>
      <c r="K231" s="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</row>
    <row r="232" spans="1:40">
      <c r="A232" s="55"/>
      <c r="B232" s="2"/>
      <c r="C232" s="2"/>
      <c r="D232" s="2" t="s">
        <v>222</v>
      </c>
      <c r="E232" s="247">
        <v>0</v>
      </c>
      <c r="F232" s="2" t="s">
        <v>223</v>
      </c>
      <c r="G232" s="2"/>
      <c r="H232" s="2"/>
      <c r="I232" s="2"/>
      <c r="J232" s="2"/>
      <c r="K232" s="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</row>
    <row r="233" spans="1:40">
      <c r="A233" s="248" t="s">
        <v>204</v>
      </c>
      <c r="B233" s="3"/>
      <c r="C233" s="3" t="s">
        <v>379</v>
      </c>
      <c r="D233" s="3"/>
      <c r="E233" s="3"/>
      <c r="F233" s="3"/>
      <c r="G233" s="3"/>
      <c r="H233" s="3"/>
      <c r="I233" s="3"/>
      <c r="J233" s="3"/>
      <c r="K233" s="3"/>
    </row>
    <row r="234" spans="1:40" ht="15" customHeight="1">
      <c r="A234" s="249" t="s">
        <v>205</v>
      </c>
      <c r="C234" s="189" t="s">
        <v>32</v>
      </c>
    </row>
    <row r="235" spans="1:40">
      <c r="C235" s="134" t="s">
        <v>379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4"/>
  <sheetViews>
    <sheetView topLeftCell="A43" zoomScale="90" zoomScaleNormal="90" workbookViewId="0">
      <selection activeCell="G75" sqref="G75"/>
    </sheetView>
  </sheetViews>
  <sheetFormatPr defaultColWidth="7.109375" defaultRowHeight="12.75"/>
  <cols>
    <col min="1" max="1" width="3.44140625" style="21" customWidth="1"/>
    <col min="2" max="2" width="4.109375" style="21" customWidth="1"/>
    <col min="3" max="3" width="1.88671875" style="21" customWidth="1"/>
    <col min="4" max="4" width="44.88671875" style="24" customWidth="1"/>
    <col min="5" max="5" width="12.44140625" style="24" bestFit="1" customWidth="1"/>
    <col min="6" max="6" width="10.88671875" style="21" customWidth="1"/>
    <col min="7" max="7" width="9.44140625" style="21" customWidth="1"/>
    <col min="8" max="8" width="11.33203125" style="21" customWidth="1"/>
    <col min="9" max="16384" width="7.109375" style="21"/>
  </cols>
  <sheetData>
    <row r="1" spans="2:9">
      <c r="F1" s="325" t="s">
        <v>342</v>
      </c>
      <c r="G1" s="325"/>
    </row>
    <row r="2" spans="2:9" ht="43.5" customHeight="1">
      <c r="B2" s="323" t="s">
        <v>341</v>
      </c>
      <c r="C2" s="324"/>
      <c r="D2" s="324"/>
      <c r="E2" s="324"/>
      <c r="F2" s="324"/>
      <c r="G2" s="324"/>
    </row>
    <row r="3" spans="2:9">
      <c r="D3" s="170"/>
      <c r="F3" s="169"/>
    </row>
    <row r="4" spans="2:9">
      <c r="B4" s="66" t="s">
        <v>135</v>
      </c>
    </row>
    <row r="5" spans="2:9">
      <c r="B5" s="67" t="s">
        <v>136</v>
      </c>
      <c r="F5" s="168" t="s">
        <v>340</v>
      </c>
    </row>
    <row r="6" spans="2:9">
      <c r="B6" s="22">
        <v>1</v>
      </c>
      <c r="C6" s="23" t="s">
        <v>339</v>
      </c>
      <c r="D6" s="25"/>
      <c r="E6" s="25"/>
      <c r="F6" s="167" t="s">
        <v>333</v>
      </c>
    </row>
    <row r="7" spans="2:9">
      <c r="B7" s="22">
        <f t="shared" ref="B7:B38" si="0">+B6+1</f>
        <v>2</v>
      </c>
      <c r="C7" s="25"/>
      <c r="D7" s="166">
        <v>44166</v>
      </c>
      <c r="E7" s="83"/>
      <c r="F7" s="30"/>
      <c r="I7" s="294"/>
    </row>
    <row r="8" spans="2:9">
      <c r="B8" s="22">
        <f t="shared" si="0"/>
        <v>3</v>
      </c>
      <c r="C8" s="25"/>
      <c r="D8" s="166">
        <v>44197</v>
      </c>
      <c r="E8" s="83"/>
      <c r="F8" s="30"/>
      <c r="I8" s="296"/>
    </row>
    <row r="9" spans="2:9">
      <c r="B9" s="22">
        <f t="shared" si="0"/>
        <v>4</v>
      </c>
      <c r="C9" s="25"/>
      <c r="D9" s="166">
        <v>44228</v>
      </c>
      <c r="E9" s="83"/>
      <c r="F9" s="30"/>
      <c r="I9" s="296"/>
    </row>
    <row r="10" spans="2:9">
      <c r="B10" s="22">
        <f t="shared" si="0"/>
        <v>5</v>
      </c>
      <c r="C10" s="25"/>
      <c r="D10" s="166">
        <v>44256</v>
      </c>
      <c r="E10" s="83"/>
      <c r="F10" s="30"/>
      <c r="I10" s="296"/>
    </row>
    <row r="11" spans="2:9">
      <c r="B11" s="22">
        <f t="shared" si="0"/>
        <v>6</v>
      </c>
      <c r="C11" s="25"/>
      <c r="D11" s="166">
        <v>44287</v>
      </c>
      <c r="E11" s="83"/>
      <c r="F11" s="30">
        <v>6948892</v>
      </c>
      <c r="I11" s="296"/>
    </row>
    <row r="12" spans="2:9" ht="12.75" customHeight="1">
      <c r="B12" s="22">
        <f t="shared" si="0"/>
        <v>7</v>
      </c>
      <c r="C12" s="25"/>
      <c r="D12" s="166">
        <v>44317</v>
      </c>
      <c r="E12" s="83"/>
      <c r="F12" s="30"/>
      <c r="I12" s="296"/>
    </row>
    <row r="13" spans="2:9">
      <c r="B13" s="22">
        <f t="shared" si="0"/>
        <v>8</v>
      </c>
      <c r="C13" s="23"/>
      <c r="D13" s="166">
        <v>44348</v>
      </c>
      <c r="E13" s="83"/>
      <c r="F13" s="30"/>
      <c r="I13" s="296"/>
    </row>
    <row r="14" spans="2:9">
      <c r="B14" s="22">
        <f t="shared" si="0"/>
        <v>9</v>
      </c>
      <c r="C14" s="25"/>
      <c r="D14" s="166">
        <v>44378</v>
      </c>
      <c r="E14" s="83"/>
      <c r="F14" s="30"/>
      <c r="I14" s="296"/>
    </row>
    <row r="15" spans="2:9">
      <c r="B15" s="22">
        <f t="shared" si="0"/>
        <v>10</v>
      </c>
      <c r="C15" s="25"/>
      <c r="D15" s="166">
        <v>44409</v>
      </c>
      <c r="E15" s="83"/>
      <c r="F15" s="30"/>
      <c r="I15" s="296"/>
    </row>
    <row r="16" spans="2:9">
      <c r="B16" s="22">
        <f t="shared" si="0"/>
        <v>11</v>
      </c>
      <c r="C16" s="25"/>
      <c r="D16" s="166">
        <v>44440</v>
      </c>
      <c r="E16" s="83"/>
      <c r="F16" s="30"/>
      <c r="I16" s="296"/>
    </row>
    <row r="17" spans="2:9">
      <c r="B17" s="22">
        <f t="shared" si="0"/>
        <v>12</v>
      </c>
      <c r="C17" s="25"/>
      <c r="D17" s="166">
        <v>44470</v>
      </c>
      <c r="E17" s="83"/>
      <c r="F17" s="30"/>
      <c r="I17" s="296"/>
    </row>
    <row r="18" spans="2:9">
      <c r="B18" s="22">
        <f t="shared" si="0"/>
        <v>13</v>
      </c>
      <c r="C18" s="25"/>
      <c r="D18" s="166">
        <v>44501</v>
      </c>
      <c r="E18" s="83"/>
      <c r="F18" s="30"/>
      <c r="I18" s="296"/>
    </row>
    <row r="19" spans="2:9">
      <c r="B19" s="22">
        <f t="shared" si="0"/>
        <v>14</v>
      </c>
      <c r="C19" s="25"/>
      <c r="D19" s="166">
        <v>44531</v>
      </c>
      <c r="E19" s="83"/>
      <c r="F19" s="30">
        <v>18550131</v>
      </c>
      <c r="G19" s="25"/>
      <c r="I19" s="296"/>
    </row>
    <row r="20" spans="2:9">
      <c r="B20" s="22">
        <f t="shared" si="0"/>
        <v>15</v>
      </c>
      <c r="C20" s="165" t="s">
        <v>385</v>
      </c>
      <c r="D20" s="21"/>
      <c r="E20" s="83"/>
      <c r="F20" s="159">
        <f>SUM(F7:F19)</f>
        <v>25499023</v>
      </c>
      <c r="G20" s="29"/>
      <c r="H20" s="29"/>
      <c r="I20" s="296"/>
    </row>
    <row r="21" spans="2:9">
      <c r="B21" s="22">
        <f t="shared" si="0"/>
        <v>16</v>
      </c>
      <c r="C21" s="25"/>
      <c r="D21" s="25" t="s">
        <v>338</v>
      </c>
      <c r="E21" s="25"/>
      <c r="F21" s="164">
        <f>'BHP WP5 Depreciation Rates'!H21</f>
        <v>2.3199999999999998E-2</v>
      </c>
      <c r="I21" s="296"/>
    </row>
    <row r="22" spans="2:9" ht="13.5" thickBot="1">
      <c r="B22" s="22">
        <f t="shared" si="0"/>
        <v>17</v>
      </c>
      <c r="C22" s="23" t="str">
        <f>"Annual Transmisison Depreciation Expense (line "&amp;B20&amp;" x line "&amp;B21&amp;")"</f>
        <v>Annual Transmisison Depreciation Expense (line 15 x line 16)</v>
      </c>
      <c r="D22" s="25"/>
      <c r="E22" s="25"/>
      <c r="F22" s="163">
        <f>+F20*F21</f>
        <v>591577.33360000001</v>
      </c>
      <c r="I22" s="296"/>
    </row>
    <row r="23" spans="2:9" ht="13.5" thickTop="1">
      <c r="B23" s="22">
        <f t="shared" si="0"/>
        <v>18</v>
      </c>
      <c r="C23" s="25"/>
      <c r="D23" s="160"/>
      <c r="E23" s="160"/>
    </row>
    <row r="24" spans="2:9">
      <c r="B24" s="22">
        <f t="shared" si="0"/>
        <v>19</v>
      </c>
      <c r="C24" s="25"/>
      <c r="D24" s="160"/>
      <c r="E24" s="162" t="s">
        <v>337</v>
      </c>
      <c r="F24" s="25" t="s">
        <v>336</v>
      </c>
    </row>
    <row r="25" spans="2:9">
      <c r="B25" s="22">
        <f t="shared" si="0"/>
        <v>20</v>
      </c>
      <c r="C25" s="23"/>
      <c r="E25" s="161" t="s">
        <v>335</v>
      </c>
      <c r="F25" s="66" t="s">
        <v>334</v>
      </c>
    </row>
    <row r="26" spans="2:9">
      <c r="B26" s="22">
        <f t="shared" si="0"/>
        <v>21</v>
      </c>
      <c r="C26" s="23" t="s">
        <v>386</v>
      </c>
      <c r="E26" s="161" t="s">
        <v>333</v>
      </c>
      <c r="F26" s="66" t="s">
        <v>332</v>
      </c>
      <c r="I26" s="296"/>
    </row>
    <row r="27" spans="2:9">
      <c r="B27" s="22">
        <f t="shared" si="0"/>
        <v>22</v>
      </c>
      <c r="F27" s="30"/>
    </row>
    <row r="28" spans="2:9">
      <c r="B28" s="22">
        <f t="shared" si="0"/>
        <v>23</v>
      </c>
      <c r="D28" s="156" t="s">
        <v>387</v>
      </c>
      <c r="E28" s="160">
        <f>Estimate!E16+F8</f>
        <v>241146841.09</v>
      </c>
      <c r="F28" s="30">
        <f>(+E28*$F$21)/12</f>
        <v>466217.22610733332</v>
      </c>
      <c r="I28" s="296"/>
    </row>
    <row r="29" spans="2:9">
      <c r="B29" s="22">
        <f t="shared" si="0"/>
        <v>24</v>
      </c>
      <c r="D29" s="158">
        <v>44228</v>
      </c>
      <c r="E29" s="154">
        <f>+E28+F9</f>
        <v>241146841.09</v>
      </c>
      <c r="F29" s="30">
        <f t="shared" ref="F29:F38" si="1">(+E29*$F$21)/12</f>
        <v>466217.22610733332</v>
      </c>
      <c r="I29" s="296"/>
    </row>
    <row r="30" spans="2:9">
      <c r="B30" s="22">
        <f t="shared" si="0"/>
        <v>25</v>
      </c>
      <c r="D30" s="158">
        <v>44256</v>
      </c>
      <c r="E30" s="154">
        <f>+E29+F10</f>
        <v>241146841.09</v>
      </c>
      <c r="F30" s="30">
        <f t="shared" si="1"/>
        <v>466217.22610733332</v>
      </c>
      <c r="I30" s="296"/>
    </row>
    <row r="31" spans="2:9">
      <c r="B31" s="22">
        <f t="shared" si="0"/>
        <v>26</v>
      </c>
      <c r="D31" s="158">
        <v>44287</v>
      </c>
      <c r="E31" s="154">
        <f>+E30+F11</f>
        <v>248095733.09</v>
      </c>
      <c r="F31" s="30">
        <f t="shared" si="1"/>
        <v>479651.75064066664</v>
      </c>
      <c r="I31" s="296"/>
    </row>
    <row r="32" spans="2:9">
      <c r="B32" s="22">
        <f t="shared" si="0"/>
        <v>27</v>
      </c>
      <c r="D32" s="158">
        <v>44317</v>
      </c>
      <c r="E32" s="154">
        <f t="shared" ref="E32:E37" si="2">+E31+F12</f>
        <v>248095733.09</v>
      </c>
      <c r="F32" s="30">
        <f t="shared" si="1"/>
        <v>479651.75064066664</v>
      </c>
      <c r="I32" s="296"/>
    </row>
    <row r="33" spans="2:9">
      <c r="B33" s="22">
        <f t="shared" si="0"/>
        <v>28</v>
      </c>
      <c r="D33" s="158">
        <v>44348</v>
      </c>
      <c r="E33" s="154">
        <f t="shared" si="2"/>
        <v>248095733.09</v>
      </c>
      <c r="F33" s="30">
        <f t="shared" si="1"/>
        <v>479651.75064066664</v>
      </c>
      <c r="I33" s="296"/>
    </row>
    <row r="34" spans="2:9">
      <c r="B34" s="22">
        <f t="shared" si="0"/>
        <v>29</v>
      </c>
      <c r="D34" s="158">
        <v>44378</v>
      </c>
      <c r="E34" s="154">
        <f t="shared" si="2"/>
        <v>248095733.09</v>
      </c>
      <c r="F34" s="30">
        <f t="shared" si="1"/>
        <v>479651.75064066664</v>
      </c>
      <c r="I34" s="296"/>
    </row>
    <row r="35" spans="2:9">
      <c r="B35" s="22">
        <f t="shared" si="0"/>
        <v>30</v>
      </c>
      <c r="D35" s="158">
        <v>44409</v>
      </c>
      <c r="E35" s="154">
        <f t="shared" si="2"/>
        <v>248095733.09</v>
      </c>
      <c r="F35" s="30">
        <f t="shared" si="1"/>
        <v>479651.75064066664</v>
      </c>
      <c r="I35" s="296"/>
    </row>
    <row r="36" spans="2:9">
      <c r="B36" s="22">
        <f t="shared" si="0"/>
        <v>31</v>
      </c>
      <c r="D36" s="158">
        <v>44440</v>
      </c>
      <c r="E36" s="154">
        <f t="shared" si="2"/>
        <v>248095733.09</v>
      </c>
      <c r="F36" s="30">
        <f t="shared" si="1"/>
        <v>479651.75064066664</v>
      </c>
      <c r="I36" s="296"/>
    </row>
    <row r="37" spans="2:9">
      <c r="B37" s="22">
        <f t="shared" si="0"/>
        <v>32</v>
      </c>
      <c r="D37" s="158">
        <v>44470</v>
      </c>
      <c r="E37" s="154">
        <f t="shared" si="2"/>
        <v>248095733.09</v>
      </c>
      <c r="F37" s="30">
        <f t="shared" si="1"/>
        <v>479651.75064066664</v>
      </c>
      <c r="I37" s="296"/>
    </row>
    <row r="38" spans="2:9">
      <c r="B38" s="22">
        <f t="shared" si="0"/>
        <v>33</v>
      </c>
      <c r="D38" s="158">
        <v>44501</v>
      </c>
      <c r="E38" s="154">
        <f>+E37+F18</f>
        <v>248095733.09</v>
      </c>
      <c r="F38" s="30">
        <f t="shared" si="1"/>
        <v>479651.75064066664</v>
      </c>
      <c r="I38" s="296"/>
    </row>
    <row r="39" spans="2:9">
      <c r="B39" s="22">
        <f t="shared" ref="B39:B60" si="3">+B38+1</f>
        <v>34</v>
      </c>
      <c r="D39" s="158">
        <v>44531</v>
      </c>
      <c r="E39" s="154">
        <f>+E38+F19</f>
        <v>266645864.09</v>
      </c>
      <c r="F39" s="30">
        <f>(+E39*$F$21)/12</f>
        <v>515515.33724066662</v>
      </c>
      <c r="I39" s="296"/>
    </row>
    <row r="40" spans="2:9">
      <c r="B40" s="22">
        <f t="shared" si="3"/>
        <v>35</v>
      </c>
      <c r="D40" s="156" t="s">
        <v>388</v>
      </c>
      <c r="E40" s="154"/>
      <c r="F40" s="159">
        <f>SUM(F28:F39)</f>
        <v>5751381.0206880011</v>
      </c>
    </row>
    <row r="41" spans="2:9">
      <c r="B41" s="22">
        <f t="shared" si="3"/>
        <v>36</v>
      </c>
      <c r="C41" s="25" t="s">
        <v>389</v>
      </c>
      <c r="D41" s="158"/>
      <c r="E41" s="154"/>
      <c r="F41" s="30"/>
    </row>
    <row r="42" spans="2:9">
      <c r="B42" s="22">
        <f t="shared" si="3"/>
        <v>37</v>
      </c>
      <c r="D42" s="187">
        <v>44562</v>
      </c>
      <c r="E42" s="154">
        <f>+E39+'BHP WP3 Capital Additions'!D10</f>
        <v>266645864.09</v>
      </c>
      <c r="F42" s="30">
        <f t="shared" ref="F42:F53" si="4">(+E42*$F$21)/12</f>
        <v>515515.33724066662</v>
      </c>
      <c r="G42" s="157"/>
      <c r="I42" s="296"/>
    </row>
    <row r="43" spans="2:9">
      <c r="B43" s="22">
        <f t="shared" si="3"/>
        <v>38</v>
      </c>
      <c r="D43" s="187">
        <v>44593</v>
      </c>
      <c r="E43" s="154">
        <f>+E42+'BHP WP3 Capital Additions'!D11</f>
        <v>266645864.09</v>
      </c>
      <c r="F43" s="30">
        <f t="shared" si="4"/>
        <v>515515.33724066662</v>
      </c>
      <c r="G43" s="157"/>
      <c r="I43" s="296"/>
    </row>
    <row r="44" spans="2:9">
      <c r="B44" s="22">
        <f t="shared" si="3"/>
        <v>39</v>
      </c>
      <c r="D44" s="187">
        <v>44621</v>
      </c>
      <c r="E44" s="154">
        <f>+E43+'BHP WP3 Capital Additions'!D12</f>
        <v>266645864.09</v>
      </c>
      <c r="F44" s="30">
        <f t="shared" si="4"/>
        <v>515515.33724066662</v>
      </c>
      <c r="G44" s="157"/>
      <c r="I44" s="296"/>
    </row>
    <row r="45" spans="2:9">
      <c r="B45" s="22">
        <f t="shared" si="3"/>
        <v>40</v>
      </c>
      <c r="D45" s="187">
        <v>44652</v>
      </c>
      <c r="E45" s="154">
        <f>+E44+'BHP WP3 Capital Additions'!D13</f>
        <v>266645864.09</v>
      </c>
      <c r="F45" s="30">
        <f t="shared" si="4"/>
        <v>515515.33724066662</v>
      </c>
      <c r="G45" s="157"/>
      <c r="I45" s="296"/>
    </row>
    <row r="46" spans="2:9">
      <c r="B46" s="22">
        <f t="shared" si="3"/>
        <v>41</v>
      </c>
      <c r="D46" s="187">
        <v>44682</v>
      </c>
      <c r="E46" s="154">
        <f>+E45+'BHP WP3 Capital Additions'!D14</f>
        <v>266645864.09</v>
      </c>
      <c r="F46" s="30">
        <f t="shared" si="4"/>
        <v>515515.33724066662</v>
      </c>
      <c r="G46" s="157"/>
      <c r="I46" s="296"/>
    </row>
    <row r="47" spans="2:9">
      <c r="B47" s="22">
        <f t="shared" si="3"/>
        <v>42</v>
      </c>
      <c r="D47" s="187">
        <v>44713</v>
      </c>
      <c r="E47" s="154">
        <f>+E46+'BHP WP3 Capital Additions'!D15</f>
        <v>266645864.09</v>
      </c>
      <c r="F47" s="30">
        <f t="shared" si="4"/>
        <v>515515.33724066662</v>
      </c>
      <c r="G47" s="157"/>
      <c r="I47" s="296"/>
    </row>
    <row r="48" spans="2:9">
      <c r="B48" s="22">
        <f t="shared" si="3"/>
        <v>43</v>
      </c>
      <c r="D48" s="187">
        <v>44743</v>
      </c>
      <c r="E48" s="154">
        <f>+E47+'BHP WP3 Capital Additions'!D16</f>
        <v>266645864.09</v>
      </c>
      <c r="F48" s="30">
        <f t="shared" si="4"/>
        <v>515515.33724066662</v>
      </c>
      <c r="G48" s="157"/>
      <c r="I48" s="296"/>
    </row>
    <row r="49" spans="2:9">
      <c r="B49" s="22">
        <f t="shared" si="3"/>
        <v>44</v>
      </c>
      <c r="D49" s="187">
        <v>44774</v>
      </c>
      <c r="E49" s="154">
        <f>+E48+'BHP WP3 Capital Additions'!D17</f>
        <v>276599355.09000003</v>
      </c>
      <c r="F49" s="30">
        <f t="shared" si="4"/>
        <v>534758.75317400007</v>
      </c>
      <c r="G49" s="157"/>
      <c r="I49" s="296"/>
    </row>
    <row r="50" spans="2:9">
      <c r="B50" s="22">
        <f t="shared" si="3"/>
        <v>45</v>
      </c>
      <c r="D50" s="187">
        <v>44805</v>
      </c>
      <c r="E50" s="154">
        <f>+E49+'BHP WP3 Capital Additions'!D18</f>
        <v>276599355.09000003</v>
      </c>
      <c r="F50" s="30">
        <f t="shared" si="4"/>
        <v>534758.75317400007</v>
      </c>
      <c r="G50" s="157"/>
      <c r="I50" s="296"/>
    </row>
    <row r="51" spans="2:9">
      <c r="B51" s="22">
        <f t="shared" si="3"/>
        <v>46</v>
      </c>
      <c r="D51" s="187">
        <v>44835</v>
      </c>
      <c r="E51" s="154">
        <f>+E50+'BHP WP3 Capital Additions'!D19</f>
        <v>276599355.09000003</v>
      </c>
      <c r="F51" s="30">
        <f t="shared" si="4"/>
        <v>534758.75317400007</v>
      </c>
      <c r="G51" s="157"/>
      <c r="I51" s="296"/>
    </row>
    <row r="52" spans="2:9">
      <c r="B52" s="22">
        <f t="shared" si="3"/>
        <v>47</v>
      </c>
      <c r="D52" s="187">
        <v>44866</v>
      </c>
      <c r="E52" s="154">
        <f>+E51+'BHP WP3 Capital Additions'!D20</f>
        <v>276599355.09000003</v>
      </c>
      <c r="F52" s="30">
        <f t="shared" si="4"/>
        <v>534758.75317400007</v>
      </c>
      <c r="G52" s="157"/>
      <c r="I52" s="296"/>
    </row>
    <row r="53" spans="2:9">
      <c r="B53" s="22">
        <f t="shared" si="3"/>
        <v>48</v>
      </c>
      <c r="D53" s="187">
        <v>44896</v>
      </c>
      <c r="E53" s="154">
        <f>+E52+'BHP WP3 Capital Additions'!D21</f>
        <v>294846531.09000003</v>
      </c>
      <c r="F53" s="30">
        <f t="shared" si="4"/>
        <v>570036.626774</v>
      </c>
      <c r="G53" s="157"/>
      <c r="I53" s="296"/>
    </row>
    <row r="54" spans="2:9">
      <c r="B54" s="22">
        <f t="shared" si="3"/>
        <v>49</v>
      </c>
      <c r="D54" s="156" t="str">
        <f>"Subtotal of 2022 Increase for Accumulated Depreciation (lines "&amp;B42&amp;"-"&amp;B53&amp;")"</f>
        <v>Subtotal of 2022 Increase for Accumulated Depreciation (lines 37-48)</v>
      </c>
      <c r="F54" s="155">
        <f>SUM(F42:F53)</f>
        <v>6317679.0001546675</v>
      </c>
      <c r="I54" s="296"/>
    </row>
    <row r="55" spans="2:9">
      <c r="B55" s="22">
        <f t="shared" si="3"/>
        <v>50</v>
      </c>
      <c r="D55" s="153" t="str">
        <f>"Average 2022 Impact for rate base consideration (line "&amp;B54&amp;" ÷ 2)"</f>
        <v>Average 2022 Impact for rate base consideration (line 49 ÷ 2)</v>
      </c>
      <c r="F55" s="154">
        <f>+F54/2</f>
        <v>3158839.5000773338</v>
      </c>
      <c r="I55" s="296"/>
    </row>
    <row r="56" spans="2:9">
      <c r="B56" s="22">
        <f t="shared" si="3"/>
        <v>51</v>
      </c>
    </row>
    <row r="57" spans="2:9" ht="13.5" thickBot="1">
      <c r="B57" s="22">
        <f t="shared" si="3"/>
        <v>52</v>
      </c>
      <c r="D57" s="153" t="str">
        <f>"Total Accumulated Depreciation for 2021 &amp; 2022 (lines "&amp;B40&amp;" + "&amp;B55&amp;")"</f>
        <v>Total Accumulated Depreciation for 2021 &amp; 2022 (lines 35 + 50)</v>
      </c>
      <c r="F57" s="152">
        <f>+F40+F55</f>
        <v>8910220.5207653344</v>
      </c>
      <c r="I57" s="296"/>
    </row>
    <row r="58" spans="2:9" ht="13.5" thickTop="1">
      <c r="B58" s="22">
        <f t="shared" si="3"/>
        <v>53</v>
      </c>
    </row>
    <row r="59" spans="2:9">
      <c r="B59" s="22">
        <f t="shared" si="3"/>
        <v>54</v>
      </c>
      <c r="D59" s="282" t="s">
        <v>390</v>
      </c>
    </row>
    <row r="60" spans="2:9">
      <c r="B60" s="22">
        <f t="shared" si="3"/>
        <v>55</v>
      </c>
      <c r="D60" s="282" t="s">
        <v>391</v>
      </c>
    </row>
    <row r="62" spans="2:9">
      <c r="D62" s="282"/>
    </row>
    <row r="63" spans="2:9">
      <c r="D63" s="282"/>
    </row>
    <row r="113" spans="7:8">
      <c r="G113" s="21" t="s">
        <v>138</v>
      </c>
      <c r="H113" s="21">
        <f>+J182</f>
        <v>0</v>
      </c>
    </row>
    <row r="114" spans="7:8">
      <c r="H114" s="21">
        <f>+H113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0"/>
  <sheetViews>
    <sheetView topLeftCell="A10" zoomScale="90" zoomScaleNormal="90" workbookViewId="0">
      <selection activeCell="G75" sqref="G75"/>
    </sheetView>
  </sheetViews>
  <sheetFormatPr defaultColWidth="7.109375" defaultRowHeight="12.75"/>
  <cols>
    <col min="1" max="1" width="3.5546875" style="21" customWidth="1"/>
    <col min="2" max="2" width="1.88671875" style="21" customWidth="1"/>
    <col min="3" max="3" width="43.5546875" style="24" customWidth="1"/>
    <col min="4" max="4" width="10.88671875" style="21" customWidth="1"/>
    <col min="5" max="5" width="9.44140625" style="21" customWidth="1"/>
    <col min="6" max="6" width="11.33203125" style="21" customWidth="1"/>
    <col min="7" max="8" width="7.109375" style="21"/>
    <col min="9" max="9" width="10.88671875" style="21" bestFit="1" customWidth="1"/>
    <col min="10" max="16384" width="7.109375" style="21"/>
  </cols>
  <sheetData>
    <row r="1" spans="1:9">
      <c r="F1" s="21" t="s">
        <v>351</v>
      </c>
    </row>
    <row r="2" spans="1:9" ht="40.5" customHeight="1">
      <c r="A2" s="323" t="s">
        <v>350</v>
      </c>
      <c r="B2" s="324"/>
      <c r="C2" s="324"/>
      <c r="D2" s="324"/>
      <c r="E2" s="324"/>
      <c r="F2" s="324"/>
    </row>
    <row r="3" spans="1:9">
      <c r="A3" s="66" t="s">
        <v>135</v>
      </c>
      <c r="B3" s="22"/>
      <c r="C3" s="22"/>
    </row>
    <row r="4" spans="1:9">
      <c r="A4" s="67" t="s">
        <v>136</v>
      </c>
      <c r="B4" s="22"/>
      <c r="C4" s="22"/>
    </row>
    <row r="5" spans="1:9" ht="15.75">
      <c r="A5" s="22">
        <v>1</v>
      </c>
      <c r="B5" s="326" t="s">
        <v>392</v>
      </c>
      <c r="C5" s="326"/>
      <c r="D5" s="326"/>
      <c r="E5" s="326"/>
      <c r="F5" s="326"/>
      <c r="I5" s="296"/>
    </row>
    <row r="6" spans="1:9" ht="15.75">
      <c r="A6" s="22">
        <v>2</v>
      </c>
      <c r="B6" s="175"/>
      <c r="C6" s="175"/>
      <c r="D6" s="175"/>
      <c r="E6" s="175"/>
    </row>
    <row r="7" spans="1:9">
      <c r="A7" s="22">
        <v>3</v>
      </c>
      <c r="C7" s="174" t="s">
        <v>337</v>
      </c>
      <c r="D7" s="174" t="s">
        <v>349</v>
      </c>
      <c r="E7" s="174" t="s">
        <v>348</v>
      </c>
      <c r="F7" s="174" t="s">
        <v>347</v>
      </c>
    </row>
    <row r="8" spans="1:9" ht="38.25">
      <c r="A8" s="22">
        <v>4</v>
      </c>
      <c r="B8" s="23" t="s">
        <v>346</v>
      </c>
      <c r="E8" s="170" t="s">
        <v>345</v>
      </c>
      <c r="F8" s="173" t="s">
        <v>344</v>
      </c>
    </row>
    <row r="9" spans="1:9">
      <c r="A9" s="22">
        <v>5</v>
      </c>
      <c r="C9" s="166">
        <v>44531</v>
      </c>
      <c r="D9" s="30"/>
      <c r="E9" s="172">
        <v>12</v>
      </c>
      <c r="F9" s="154">
        <f t="shared" ref="F9:F21" si="0">(+D9*E9)/12</f>
        <v>0</v>
      </c>
      <c r="I9" s="296"/>
    </row>
    <row r="10" spans="1:9">
      <c r="A10" s="22">
        <v>6</v>
      </c>
      <c r="C10" s="166">
        <v>44562</v>
      </c>
      <c r="D10" s="30"/>
      <c r="E10" s="172">
        <v>11.5</v>
      </c>
      <c r="F10" s="154">
        <f t="shared" si="0"/>
        <v>0</v>
      </c>
      <c r="I10" s="296"/>
    </row>
    <row r="11" spans="1:9">
      <c r="A11" s="22">
        <v>7</v>
      </c>
      <c r="C11" s="166">
        <v>44593</v>
      </c>
      <c r="D11" s="30"/>
      <c r="E11" s="172">
        <v>10.5</v>
      </c>
      <c r="F11" s="154">
        <f t="shared" si="0"/>
        <v>0</v>
      </c>
      <c r="I11" s="296"/>
    </row>
    <row r="12" spans="1:9">
      <c r="A12" s="22">
        <v>8</v>
      </c>
      <c r="C12" s="166">
        <v>44621</v>
      </c>
      <c r="D12" s="30"/>
      <c r="E12" s="172">
        <v>9.5</v>
      </c>
      <c r="F12" s="154">
        <f t="shared" si="0"/>
        <v>0</v>
      </c>
      <c r="I12" s="296"/>
    </row>
    <row r="13" spans="1:9">
      <c r="A13" s="22">
        <v>9</v>
      </c>
      <c r="C13" s="166">
        <v>44652</v>
      </c>
      <c r="D13" s="30"/>
      <c r="E13" s="172">
        <v>8.5</v>
      </c>
      <c r="F13" s="154">
        <f t="shared" si="0"/>
        <v>0</v>
      </c>
      <c r="I13" s="296"/>
    </row>
    <row r="14" spans="1:9">
      <c r="A14" s="22">
        <v>10</v>
      </c>
      <c r="C14" s="166">
        <v>44682</v>
      </c>
      <c r="D14" s="30"/>
      <c r="E14" s="172">
        <v>7.5</v>
      </c>
      <c r="F14" s="154">
        <f t="shared" si="0"/>
        <v>0</v>
      </c>
      <c r="I14" s="296"/>
    </row>
    <row r="15" spans="1:9">
      <c r="A15" s="22">
        <v>11</v>
      </c>
      <c r="C15" s="166">
        <v>44713</v>
      </c>
      <c r="D15" s="30"/>
      <c r="E15" s="172">
        <v>6.5</v>
      </c>
      <c r="F15" s="154">
        <f t="shared" si="0"/>
        <v>0</v>
      </c>
      <c r="I15" s="296"/>
    </row>
    <row r="16" spans="1:9">
      <c r="A16" s="22">
        <v>12</v>
      </c>
      <c r="C16" s="166">
        <v>44743</v>
      </c>
      <c r="D16" s="30"/>
      <c r="E16" s="172">
        <v>5.5</v>
      </c>
      <c r="F16" s="154">
        <f t="shared" si="0"/>
        <v>0</v>
      </c>
      <c r="I16" s="296"/>
    </row>
    <row r="17" spans="1:10">
      <c r="A17" s="22">
        <v>13</v>
      </c>
      <c r="C17" s="166">
        <v>44774</v>
      </c>
      <c r="D17" s="30">
        <v>9953491</v>
      </c>
      <c r="E17" s="172">
        <v>4.5</v>
      </c>
      <c r="F17" s="154">
        <f t="shared" si="0"/>
        <v>3732559.125</v>
      </c>
      <c r="I17" s="296"/>
    </row>
    <row r="18" spans="1:10">
      <c r="A18" s="22">
        <v>14</v>
      </c>
      <c r="C18" s="166">
        <v>44805</v>
      </c>
      <c r="D18" s="30"/>
      <c r="E18" s="172">
        <v>3.5</v>
      </c>
      <c r="F18" s="154">
        <f t="shared" si="0"/>
        <v>0</v>
      </c>
      <c r="I18" s="296"/>
    </row>
    <row r="19" spans="1:10">
      <c r="A19" s="22">
        <v>15</v>
      </c>
      <c r="C19" s="166">
        <v>44835</v>
      </c>
      <c r="D19" s="30"/>
      <c r="E19" s="172">
        <v>2.5</v>
      </c>
      <c r="F19" s="154">
        <f t="shared" si="0"/>
        <v>0</v>
      </c>
      <c r="I19" s="296"/>
    </row>
    <row r="20" spans="1:10">
      <c r="A20" s="22">
        <v>16</v>
      </c>
      <c r="C20" s="166">
        <v>44866</v>
      </c>
      <c r="D20" s="30"/>
      <c r="E20" s="172">
        <v>1.5</v>
      </c>
      <c r="F20" s="154">
        <f t="shared" si="0"/>
        <v>0</v>
      </c>
      <c r="I20" s="296"/>
    </row>
    <row r="21" spans="1:10">
      <c r="A21" s="22">
        <v>17</v>
      </c>
      <c r="C21" s="166">
        <v>44896</v>
      </c>
      <c r="D21" s="30">
        <v>18247176</v>
      </c>
      <c r="E21" s="172">
        <v>0.5</v>
      </c>
      <c r="F21" s="154">
        <f t="shared" si="0"/>
        <v>760299</v>
      </c>
      <c r="I21" s="296"/>
      <c r="J21" s="294"/>
    </row>
    <row r="22" spans="1:10">
      <c r="A22" s="22">
        <v>18</v>
      </c>
      <c r="D22" s="171"/>
      <c r="F22" s="171"/>
    </row>
    <row r="23" spans="1:10">
      <c r="A23" s="22">
        <v>19</v>
      </c>
      <c r="B23" s="23"/>
      <c r="D23" s="157">
        <f>SUM(D9:D22)</f>
        <v>28200667</v>
      </c>
      <c r="F23" s="157">
        <f>SUM(F9:F22)</f>
        <v>4492858.125</v>
      </c>
    </row>
    <row r="24" spans="1:10">
      <c r="A24" s="22">
        <v>20</v>
      </c>
    </row>
    <row r="25" spans="1:10">
      <c r="A25" s="22">
        <v>21</v>
      </c>
      <c r="C25" s="25" t="s">
        <v>338</v>
      </c>
      <c r="D25" s="25"/>
      <c r="E25" s="25"/>
      <c r="F25" s="164">
        <f>'BHP WP2 Capital Additions'!F21</f>
        <v>2.3199999999999998E-2</v>
      </c>
      <c r="I25" s="296"/>
    </row>
    <row r="26" spans="1:10">
      <c r="A26" s="22">
        <v>22</v>
      </c>
      <c r="C26" s="25"/>
      <c r="D26" s="25"/>
      <c r="E26" s="25"/>
      <c r="F26" s="160"/>
    </row>
    <row r="27" spans="1:10" ht="13.5" thickBot="1">
      <c r="A27" s="22">
        <v>23</v>
      </c>
      <c r="C27" s="25" t="s">
        <v>343</v>
      </c>
      <c r="D27" s="25"/>
      <c r="E27" s="25"/>
      <c r="F27" s="163">
        <f>+F23*F25</f>
        <v>104234.3085</v>
      </c>
      <c r="I27" s="296"/>
    </row>
    <row r="28" spans="1:10" ht="13.5" thickTop="1">
      <c r="A28" s="22">
        <v>24</v>
      </c>
    </row>
    <row r="29" spans="1:10">
      <c r="A29" s="22">
        <v>25</v>
      </c>
      <c r="C29" s="282" t="s">
        <v>399</v>
      </c>
    </row>
    <row r="30" spans="1:10" ht="12.75" customHeight="1">
      <c r="A30" s="22">
        <v>26</v>
      </c>
      <c r="C30" s="282" t="s">
        <v>393</v>
      </c>
      <c r="D30" s="282"/>
      <c r="E30" s="282"/>
    </row>
    <row r="31" spans="1:10">
      <c r="A31" s="22">
        <v>27</v>
      </c>
    </row>
    <row r="32" spans="1:10">
      <c r="A32" s="22"/>
    </row>
    <row r="33" spans="1:4">
      <c r="A33" s="22"/>
    </row>
    <row r="34" spans="1:4">
      <c r="A34" s="22"/>
      <c r="D34" s="157"/>
    </row>
    <row r="35" spans="1:4">
      <c r="A35" s="22"/>
    </row>
    <row r="36" spans="1:4">
      <c r="A36" s="22"/>
    </row>
    <row r="37" spans="1:4">
      <c r="A37" s="22"/>
    </row>
    <row r="38" spans="1:4">
      <c r="A38" s="22"/>
    </row>
    <row r="109" spans="6:7">
      <c r="F109" s="21" t="s">
        <v>138</v>
      </c>
      <c r="G109" s="21">
        <f>+I178</f>
        <v>0</v>
      </c>
    </row>
    <row r="110" spans="6:7">
      <c r="G110" s="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8"/>
  <sheetViews>
    <sheetView zoomScaleNormal="100" workbookViewId="0">
      <selection activeCell="G75" sqref="G75"/>
    </sheetView>
  </sheetViews>
  <sheetFormatPr defaultColWidth="7.109375" defaultRowHeight="12.75"/>
  <cols>
    <col min="1" max="1" width="10.109375" style="21" customWidth="1"/>
    <col min="2" max="2" width="3.5546875" style="21" customWidth="1"/>
    <col min="3" max="4" width="1.88671875" style="21" customWidth="1"/>
    <col min="5" max="5" width="4" style="21" customWidth="1"/>
    <col min="6" max="6" width="24.109375" style="21" customWidth="1"/>
    <col min="7" max="7" width="1.88671875" style="21" customWidth="1"/>
    <col min="8" max="8" width="8.109375" style="24" customWidth="1"/>
    <col min="9" max="9" width="8.109375" style="21" customWidth="1"/>
    <col min="10" max="16384" width="7.109375" style="21"/>
  </cols>
  <sheetData>
    <row r="2" spans="1:10">
      <c r="I2" s="21" t="s">
        <v>361</v>
      </c>
    </row>
    <row r="3" spans="1:10" ht="40.5" customHeight="1">
      <c r="B3" s="323" t="s">
        <v>362</v>
      </c>
      <c r="C3" s="324"/>
      <c r="D3" s="324"/>
      <c r="E3" s="324"/>
      <c r="F3" s="324"/>
      <c r="G3" s="324"/>
      <c r="H3" s="324"/>
    </row>
    <row r="4" spans="1:10">
      <c r="J4" s="294"/>
    </row>
    <row r="7" spans="1:10">
      <c r="F7" s="81"/>
    </row>
    <row r="8" spans="1:10">
      <c r="A8" s="324"/>
      <c r="B8" s="324"/>
      <c r="C8" s="324"/>
      <c r="D8" s="324"/>
      <c r="E8" s="324"/>
      <c r="F8" s="324"/>
      <c r="G8" s="324"/>
      <c r="H8" s="324"/>
    </row>
    <row r="9" spans="1:10">
      <c r="B9" s="66" t="s">
        <v>135</v>
      </c>
      <c r="H9" s="139" t="s">
        <v>319</v>
      </c>
    </row>
    <row r="10" spans="1:10">
      <c r="B10" s="67" t="s">
        <v>136</v>
      </c>
      <c r="D10" s="78" t="s">
        <v>255</v>
      </c>
      <c r="E10" s="78"/>
      <c r="F10" s="78"/>
      <c r="H10" s="79" t="s">
        <v>122</v>
      </c>
    </row>
    <row r="11" spans="1:10">
      <c r="B11" s="22">
        <v>1</v>
      </c>
    </row>
    <row r="12" spans="1:10">
      <c r="B12" s="22">
        <v>2</v>
      </c>
      <c r="D12" s="23" t="s">
        <v>77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5" t="s">
        <v>256</v>
      </c>
      <c r="H14" s="140">
        <v>0</v>
      </c>
    </row>
    <row r="15" spans="1:10">
      <c r="B15" s="22">
        <v>5</v>
      </c>
      <c r="E15" s="21">
        <v>352</v>
      </c>
      <c r="F15" s="25" t="s">
        <v>257</v>
      </c>
      <c r="H15" s="140">
        <v>2.3900000000000001E-2</v>
      </c>
    </row>
    <row r="16" spans="1:10">
      <c r="B16" s="22">
        <v>6</v>
      </c>
      <c r="E16" s="21">
        <v>353</v>
      </c>
      <c r="F16" s="25" t="s">
        <v>258</v>
      </c>
      <c r="H16" s="140">
        <v>2.6599999999999999E-2</v>
      </c>
    </row>
    <row r="17" spans="2:8">
      <c r="B17" s="22">
        <v>7</v>
      </c>
      <c r="E17" s="21">
        <v>354</v>
      </c>
      <c r="F17" s="25" t="s">
        <v>259</v>
      </c>
      <c r="H17" s="140">
        <v>2.0400000000000001E-2</v>
      </c>
    </row>
    <row r="18" spans="2:8">
      <c r="B18" s="22">
        <v>8</v>
      </c>
      <c r="E18" s="21">
        <v>355</v>
      </c>
      <c r="F18" s="25" t="s">
        <v>260</v>
      </c>
      <c r="H18" s="140">
        <v>2.2200000000000001E-2</v>
      </c>
    </row>
    <row r="19" spans="2:8">
      <c r="B19" s="22">
        <v>9</v>
      </c>
      <c r="E19" s="21">
        <v>356</v>
      </c>
      <c r="F19" s="25" t="s">
        <v>261</v>
      </c>
      <c r="H19" s="140">
        <v>2.0400000000000001E-2</v>
      </c>
    </row>
    <row r="20" spans="2:8">
      <c r="B20" s="22">
        <v>10</v>
      </c>
      <c r="E20" s="21">
        <v>359</v>
      </c>
      <c r="F20" s="25" t="s">
        <v>262</v>
      </c>
      <c r="H20" s="140">
        <v>1.95E-2</v>
      </c>
    </row>
    <row r="21" spans="2:8">
      <c r="B21" s="22">
        <v>11</v>
      </c>
      <c r="F21" s="25" t="s">
        <v>4</v>
      </c>
      <c r="H21" s="140">
        <v>2.3199999999999998E-2</v>
      </c>
    </row>
    <row r="22" spans="2:8">
      <c r="B22" s="22">
        <v>12</v>
      </c>
      <c r="H22" s="140"/>
    </row>
    <row r="23" spans="2:8">
      <c r="B23" s="22">
        <v>13</v>
      </c>
      <c r="D23" s="23" t="s">
        <v>66</v>
      </c>
      <c r="H23" s="140"/>
    </row>
    <row r="24" spans="2:8">
      <c r="B24" s="22">
        <v>14</v>
      </c>
      <c r="H24" s="140"/>
    </row>
    <row r="25" spans="2:8">
      <c r="B25" s="22">
        <v>15</v>
      </c>
      <c r="E25" s="21">
        <v>389</v>
      </c>
      <c r="F25" s="127" t="s">
        <v>256</v>
      </c>
      <c r="H25" s="140">
        <v>0</v>
      </c>
    </row>
    <row r="26" spans="2:8">
      <c r="B26" s="22">
        <v>16</v>
      </c>
      <c r="E26" s="21">
        <v>390</v>
      </c>
      <c r="F26" s="25" t="s">
        <v>257</v>
      </c>
      <c r="H26" s="140">
        <v>4.7300000000000002E-2</v>
      </c>
    </row>
    <row r="27" spans="2:8">
      <c r="B27" s="22">
        <v>17</v>
      </c>
      <c r="E27" s="21">
        <v>391</v>
      </c>
      <c r="F27" s="25" t="s">
        <v>263</v>
      </c>
      <c r="H27" s="140">
        <v>0.1056</v>
      </c>
    </row>
    <row r="28" spans="2:8">
      <c r="B28" s="22">
        <v>18</v>
      </c>
      <c r="E28" s="21">
        <v>392</v>
      </c>
      <c r="F28" s="25" t="s">
        <v>264</v>
      </c>
      <c r="H28" s="140">
        <v>9.06E-2</v>
      </c>
    </row>
    <row r="29" spans="2:8">
      <c r="B29" s="22">
        <v>19</v>
      </c>
      <c r="E29" s="21">
        <v>393</v>
      </c>
      <c r="F29" s="25" t="s">
        <v>265</v>
      </c>
      <c r="H29" s="140">
        <v>4.2299999999999997E-2</v>
      </c>
    </row>
    <row r="30" spans="2:8">
      <c r="B30" s="22">
        <v>20</v>
      </c>
      <c r="E30" s="21">
        <v>394</v>
      </c>
      <c r="F30" s="25" t="s">
        <v>12</v>
      </c>
      <c r="H30" s="140">
        <v>4.2299999999999997E-2</v>
      </c>
    </row>
    <row r="31" spans="2:8">
      <c r="B31" s="22">
        <v>21</v>
      </c>
      <c r="E31" s="21">
        <v>395</v>
      </c>
      <c r="F31" s="25" t="s">
        <v>266</v>
      </c>
      <c r="H31" s="140">
        <v>3.0599999999999999E-2</v>
      </c>
    </row>
    <row r="32" spans="2:8">
      <c r="B32" s="22">
        <v>22</v>
      </c>
      <c r="E32" s="21">
        <v>396</v>
      </c>
      <c r="F32" s="25" t="s">
        <v>267</v>
      </c>
      <c r="H32" s="140">
        <v>4.2299999999999997E-2</v>
      </c>
    </row>
    <row r="33" spans="2:8">
      <c r="B33" s="22">
        <v>23</v>
      </c>
      <c r="E33" s="21">
        <v>397</v>
      </c>
      <c r="F33" s="25" t="s">
        <v>268</v>
      </c>
      <c r="H33" s="140">
        <v>4.3900000000000002E-2</v>
      </c>
    </row>
    <row r="34" spans="2:8">
      <c r="B34" s="22">
        <v>24</v>
      </c>
      <c r="E34" s="21">
        <v>398</v>
      </c>
      <c r="F34" s="25" t="s">
        <v>269</v>
      </c>
      <c r="H34" s="140">
        <v>5.8099999999999999E-2</v>
      </c>
    </row>
    <row r="35" spans="2:8">
      <c r="B35" s="138">
        <v>25</v>
      </c>
      <c r="C35" s="29"/>
      <c r="D35" s="29"/>
      <c r="E35" s="29"/>
      <c r="F35" s="83" t="s">
        <v>11</v>
      </c>
      <c r="G35" s="29"/>
      <c r="H35" s="140">
        <v>6.5299999999999997E-2</v>
      </c>
    </row>
    <row r="36" spans="2:8">
      <c r="B36" s="22">
        <v>26</v>
      </c>
    </row>
    <row r="37" spans="2:8">
      <c r="B37" s="22">
        <v>27</v>
      </c>
      <c r="D37" s="25" t="s">
        <v>376</v>
      </c>
      <c r="E37" s="80"/>
      <c r="F37" s="25"/>
    </row>
    <row r="38" spans="2:8">
      <c r="F38" s="25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Q65"/>
  <sheetViews>
    <sheetView topLeftCell="A37" zoomScale="60" zoomScaleNormal="60" zoomScaleSheetLayoutView="85" workbookViewId="0">
      <selection activeCell="G75" sqref="G75"/>
    </sheetView>
  </sheetViews>
  <sheetFormatPr defaultColWidth="8.88671875" defaultRowHeight="15"/>
  <cols>
    <col min="1" max="1" width="6" style="134" customWidth="1"/>
    <col min="2" max="2" width="1.44140625" style="134" customWidth="1"/>
    <col min="3" max="3" width="36" style="134" customWidth="1"/>
    <col min="4" max="4" width="23.33203125" style="134" customWidth="1"/>
    <col min="5" max="5" width="15.109375" style="134" customWidth="1"/>
    <col min="6" max="12" width="15.88671875" style="134" customWidth="1"/>
    <col min="13" max="13" width="14.33203125" style="134" bestFit="1" customWidth="1"/>
    <col min="14" max="18" width="15.88671875" style="134" customWidth="1"/>
    <col min="19" max="19" width="8.88671875" style="134"/>
    <col min="20" max="20" width="10.33203125" style="134" bestFit="1" customWidth="1"/>
    <col min="21" max="21" width="15.33203125" style="134" bestFit="1" customWidth="1"/>
    <col min="22" max="22" width="14.6640625" style="134" customWidth="1"/>
    <col min="23" max="16384" width="8.88671875" style="134"/>
  </cols>
  <sheetData>
    <row r="2" spans="1:69" ht="15.75">
      <c r="A2" s="3"/>
      <c r="B2" s="3"/>
      <c r="C2" s="3"/>
      <c r="D2" s="87"/>
      <c r="E2" s="3"/>
      <c r="F2" s="3"/>
      <c r="G2" s="3"/>
      <c r="H2" s="3"/>
      <c r="I2" s="191"/>
      <c r="J2" s="3"/>
      <c r="K2" s="3"/>
      <c r="L2" s="3"/>
      <c r="O2" s="133"/>
      <c r="R2" s="306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3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</row>
    <row r="4" spans="1:69" ht="15" customHeight="1">
      <c r="A4" s="319" t="s">
        <v>238</v>
      </c>
      <c r="B4" s="319"/>
      <c r="C4" s="319"/>
      <c r="D4" s="319"/>
      <c r="E4" s="319"/>
      <c r="F4" s="319"/>
      <c r="G4" s="319"/>
      <c r="H4" s="319"/>
      <c r="I4" s="319"/>
      <c r="J4" s="319" t="s">
        <v>238</v>
      </c>
      <c r="K4" s="319"/>
      <c r="L4" s="319"/>
      <c r="M4" s="319"/>
      <c r="N4" s="319"/>
      <c r="O4" s="319"/>
      <c r="P4" s="319"/>
      <c r="Q4" s="319"/>
      <c r="R4" s="319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</row>
    <row r="5" spans="1:69" ht="15.75">
      <c r="A5" s="320" t="s">
        <v>134</v>
      </c>
      <c r="B5" s="320"/>
      <c r="C5" s="320"/>
      <c r="D5" s="320"/>
      <c r="E5" s="320"/>
      <c r="F5" s="320"/>
      <c r="G5" s="320"/>
      <c r="H5" s="320"/>
      <c r="I5" s="320"/>
      <c r="J5" s="320" t="s">
        <v>134</v>
      </c>
      <c r="K5" s="320"/>
      <c r="L5" s="320"/>
      <c r="M5" s="320"/>
      <c r="N5" s="320"/>
      <c r="O5" s="320"/>
      <c r="P5" s="320"/>
      <c r="Q5" s="320"/>
      <c r="R5" s="320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</row>
    <row r="6" spans="1:69">
      <c r="A6" s="3"/>
      <c r="B6" s="3"/>
      <c r="C6" s="133"/>
      <c r="D6" s="133"/>
      <c r="F6" s="133"/>
      <c r="G6" s="133"/>
      <c r="H6" s="133"/>
      <c r="I6" s="29" t="s">
        <v>353</v>
      </c>
      <c r="J6" s="3"/>
      <c r="K6" s="3"/>
      <c r="L6" s="133"/>
      <c r="M6" s="133"/>
      <c r="O6" s="133"/>
      <c r="P6" s="133"/>
      <c r="Q6" s="133"/>
      <c r="R6" s="133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</row>
    <row r="7" spans="1:69" ht="15" customHeight="1">
      <c r="A7" s="321" t="s">
        <v>237</v>
      </c>
      <c r="B7" s="321"/>
      <c r="C7" s="321"/>
      <c r="D7" s="321"/>
      <c r="E7" s="321"/>
      <c r="F7" s="321"/>
      <c r="G7" s="321"/>
      <c r="H7" s="321"/>
      <c r="I7" s="321"/>
      <c r="J7" s="321" t="s">
        <v>237</v>
      </c>
      <c r="K7" s="321"/>
      <c r="L7" s="321"/>
      <c r="M7" s="321"/>
      <c r="N7" s="321"/>
      <c r="O7" s="321"/>
      <c r="P7" s="321"/>
      <c r="Q7" s="321"/>
      <c r="R7" s="321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</row>
    <row r="8" spans="1:69">
      <c r="A8" s="55"/>
      <c r="B8" s="3"/>
      <c r="C8" s="133"/>
      <c r="D8" s="133"/>
      <c r="E8" s="195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</row>
    <row r="9" spans="1:69">
      <c r="A9" s="3"/>
      <c r="B9" s="3"/>
      <c r="C9" s="196"/>
      <c r="D9" s="196"/>
      <c r="E9" s="196"/>
      <c r="F9" s="1"/>
      <c r="G9" s="1"/>
      <c r="H9" s="1"/>
      <c r="I9" s="1"/>
      <c r="J9" s="1"/>
      <c r="K9" s="1"/>
      <c r="L9" s="196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</row>
    <row r="10" spans="1:69" ht="15.75">
      <c r="A10" s="3"/>
      <c r="B10" s="3"/>
      <c r="C10" s="188"/>
      <c r="D10" s="305" t="s">
        <v>144</v>
      </c>
      <c r="E10" s="1"/>
      <c r="F10" s="1"/>
      <c r="G10" s="1"/>
      <c r="H10" s="1"/>
      <c r="I10" s="1"/>
      <c r="J10" s="1"/>
      <c r="K10" s="1"/>
      <c r="L10" s="196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</row>
    <row r="11" spans="1:69" ht="15.75">
      <c r="A11" s="55" t="s">
        <v>135</v>
      </c>
      <c r="B11" s="3"/>
      <c r="C11" s="188"/>
      <c r="D11" s="200" t="s">
        <v>146</v>
      </c>
      <c r="E11" s="304" t="s">
        <v>147</v>
      </c>
      <c r="F11" s="201"/>
      <c r="G11" s="201"/>
      <c r="H11" s="201"/>
      <c r="I11" s="201"/>
      <c r="J11" s="201"/>
      <c r="K11" s="201"/>
      <c r="L11" s="196"/>
      <c r="O11" s="307"/>
      <c r="P11" s="307"/>
      <c r="Q11" s="308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</row>
    <row r="12" spans="1:69" ht="16.5" thickBot="1">
      <c r="A12" s="204" t="s">
        <v>136</v>
      </c>
      <c r="B12" s="3"/>
      <c r="C12" s="205" t="s">
        <v>149</v>
      </c>
      <c r="D12" s="1"/>
      <c r="E12" s="229" t="s">
        <v>15</v>
      </c>
      <c r="F12" s="229" t="s">
        <v>16</v>
      </c>
      <c r="G12" s="229" t="s">
        <v>17</v>
      </c>
      <c r="H12" s="229" t="s">
        <v>18</v>
      </c>
      <c r="I12" s="229" t="s">
        <v>19</v>
      </c>
      <c r="J12" s="229" t="s">
        <v>20</v>
      </c>
      <c r="K12" s="229" t="s">
        <v>21</v>
      </c>
      <c r="L12" s="229" t="s">
        <v>22</v>
      </c>
      <c r="M12" s="229" t="s">
        <v>109</v>
      </c>
      <c r="N12" s="229" t="s">
        <v>23</v>
      </c>
      <c r="O12" s="229" t="s">
        <v>24</v>
      </c>
      <c r="P12" s="229" t="s">
        <v>25</v>
      </c>
      <c r="Q12" s="229" t="s">
        <v>26</v>
      </c>
      <c r="R12" s="229" t="s">
        <v>27</v>
      </c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</row>
    <row r="13" spans="1:69">
      <c r="A13" s="55"/>
      <c r="B13" s="3"/>
      <c r="C13" s="188"/>
      <c r="D13" s="1"/>
      <c r="E13" s="131">
        <v>43800</v>
      </c>
      <c r="F13" s="131">
        <v>43831</v>
      </c>
      <c r="G13" s="131">
        <v>43862</v>
      </c>
      <c r="H13" s="131">
        <v>43891</v>
      </c>
      <c r="I13" s="131">
        <v>43922</v>
      </c>
      <c r="J13" s="131">
        <v>43952</v>
      </c>
      <c r="K13" s="131">
        <v>43983</v>
      </c>
      <c r="L13" s="131">
        <v>44013</v>
      </c>
      <c r="M13" s="131">
        <v>44044</v>
      </c>
      <c r="N13" s="131">
        <v>44075</v>
      </c>
      <c r="O13" s="131">
        <v>44105</v>
      </c>
      <c r="P13" s="131">
        <v>44136</v>
      </c>
      <c r="Q13" s="131">
        <v>44166</v>
      </c>
      <c r="R13" s="65" t="s">
        <v>14</v>
      </c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</row>
    <row r="14" spans="1:69">
      <c r="A14" s="55"/>
      <c r="B14" s="3"/>
      <c r="C14" s="188" t="s">
        <v>30</v>
      </c>
      <c r="D14" s="1" t="s">
        <v>316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1"/>
      <c r="T14" s="1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</row>
    <row r="15" spans="1:69" ht="15.75">
      <c r="A15" s="55">
        <v>1</v>
      </c>
      <c r="B15" s="3"/>
      <c r="C15" s="188" t="s">
        <v>151</v>
      </c>
      <c r="D15" s="1" t="s">
        <v>39</v>
      </c>
      <c r="E15" s="65">
        <v>616237304.53999996</v>
      </c>
      <c r="F15" s="65">
        <v>617056152.54000008</v>
      </c>
      <c r="G15" s="65">
        <v>614528547.56999993</v>
      </c>
      <c r="H15" s="65">
        <v>610774827.05000007</v>
      </c>
      <c r="I15" s="65">
        <v>610033407.78999996</v>
      </c>
      <c r="J15" s="65">
        <v>608657491.66999996</v>
      </c>
      <c r="K15" s="65">
        <v>608669961.19000006</v>
      </c>
      <c r="L15" s="65">
        <v>605779928.83000004</v>
      </c>
      <c r="M15" s="65">
        <v>606177058.6400001</v>
      </c>
      <c r="N15" s="65">
        <v>606206517.09000003</v>
      </c>
      <c r="O15" s="65">
        <v>606625884.47000015</v>
      </c>
      <c r="P15" s="65">
        <v>658256377.33999991</v>
      </c>
      <c r="Q15" s="65">
        <v>663360946.57999992</v>
      </c>
      <c r="R15" s="65">
        <f t="shared" ref="R15:R21" si="0">AVERAGE(E15:Q15)</f>
        <v>617874185.02307701</v>
      </c>
      <c r="S15" s="1"/>
      <c r="T15" s="309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</row>
    <row r="16" spans="1:69" ht="15.75">
      <c r="A16" s="55">
        <f t="shared" ref="A16:A65" si="1">+A15+1</f>
        <v>2</v>
      </c>
      <c r="B16" s="3"/>
      <c r="C16" s="188" t="s">
        <v>153</v>
      </c>
      <c r="D16" s="1" t="s">
        <v>84</v>
      </c>
      <c r="E16" s="65">
        <v>235135831.94</v>
      </c>
      <c r="F16" s="65">
        <v>235538606.77000001</v>
      </c>
      <c r="G16" s="65">
        <v>235841095.73999998</v>
      </c>
      <c r="H16" s="65">
        <v>236219400.45000002</v>
      </c>
      <c r="I16" s="65">
        <v>236620295.13</v>
      </c>
      <c r="J16" s="65">
        <v>234677363.19000003</v>
      </c>
      <c r="K16" s="65">
        <v>234788635.29000005</v>
      </c>
      <c r="L16" s="65">
        <v>237708817.61000004</v>
      </c>
      <c r="M16" s="65">
        <v>237741571.29000002</v>
      </c>
      <c r="N16" s="65">
        <v>234479703.71000004</v>
      </c>
      <c r="O16" s="65">
        <v>234474425.53999999</v>
      </c>
      <c r="P16" s="65">
        <v>235297783.08000001</v>
      </c>
      <c r="Q16" s="65">
        <v>241146841.09</v>
      </c>
      <c r="R16" s="65">
        <f t="shared" si="0"/>
        <v>236128490.06384617</v>
      </c>
      <c r="S16" s="1"/>
      <c r="T16" s="309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</row>
    <row r="17" spans="1:69" ht="15.75">
      <c r="A17" s="55">
        <f t="shared" si="1"/>
        <v>3</v>
      </c>
      <c r="B17" s="3"/>
      <c r="C17" s="188" t="s">
        <v>154</v>
      </c>
      <c r="D17" s="1" t="s">
        <v>85</v>
      </c>
      <c r="E17" s="65">
        <v>431783061.49999988</v>
      </c>
      <c r="F17" s="65">
        <v>432768056.08999997</v>
      </c>
      <c r="G17" s="65">
        <v>433459577.29000002</v>
      </c>
      <c r="H17" s="65">
        <v>434956882.33999997</v>
      </c>
      <c r="I17" s="65">
        <v>439491872.01000011</v>
      </c>
      <c r="J17" s="65">
        <v>445893666.25999999</v>
      </c>
      <c r="K17" s="65">
        <v>445914558.61000007</v>
      </c>
      <c r="L17" s="65">
        <v>450068948.72999996</v>
      </c>
      <c r="M17" s="65">
        <v>457366938.97000015</v>
      </c>
      <c r="N17" s="65">
        <v>462050217.28000003</v>
      </c>
      <c r="O17" s="65">
        <v>471260194.82000005</v>
      </c>
      <c r="P17" s="65">
        <v>474658331.00000006</v>
      </c>
      <c r="Q17" s="65">
        <v>473031181.0200001</v>
      </c>
      <c r="R17" s="65">
        <f t="shared" si="0"/>
        <v>450207960.45538461</v>
      </c>
      <c r="S17" s="1"/>
      <c r="T17" s="309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</row>
    <row r="18" spans="1:69" ht="15.75">
      <c r="A18" s="55">
        <f t="shared" si="1"/>
        <v>4</v>
      </c>
      <c r="B18" s="3"/>
      <c r="C18" s="188" t="s">
        <v>155</v>
      </c>
      <c r="D18" s="1" t="s">
        <v>313</v>
      </c>
      <c r="E18" s="65">
        <v>51072235.319999993</v>
      </c>
      <c r="F18" s="65">
        <v>50906875.210000008</v>
      </c>
      <c r="G18" s="65">
        <v>51496544.460000008</v>
      </c>
      <c r="H18" s="65">
        <v>51687637.170000002</v>
      </c>
      <c r="I18" s="65">
        <v>51881060.170000002</v>
      </c>
      <c r="J18" s="65">
        <v>51971375.170000002</v>
      </c>
      <c r="K18" s="65">
        <v>52047774.610000014</v>
      </c>
      <c r="L18" s="65">
        <v>52357202.150000006</v>
      </c>
      <c r="M18" s="65">
        <v>52842613.88000001</v>
      </c>
      <c r="N18" s="65">
        <v>52790086.890000001</v>
      </c>
      <c r="O18" s="65">
        <v>53835504.109999999</v>
      </c>
      <c r="P18" s="65">
        <v>56519131.470000014</v>
      </c>
      <c r="Q18" s="65">
        <v>60489131.510000005</v>
      </c>
      <c r="R18" s="65">
        <f t="shared" si="0"/>
        <v>53069013.24000001</v>
      </c>
      <c r="S18" s="1"/>
      <c r="T18" s="309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</row>
    <row r="19" spans="1:69" ht="15.75">
      <c r="A19" s="55">
        <f t="shared" si="1"/>
        <v>5</v>
      </c>
      <c r="B19" s="3"/>
      <c r="C19" s="188" t="s">
        <v>101</v>
      </c>
      <c r="D19" s="1" t="s">
        <v>328</v>
      </c>
      <c r="E19" s="65">
        <v>31833271</v>
      </c>
      <c r="F19" s="65">
        <v>30725976</v>
      </c>
      <c r="G19" s="65">
        <v>31203294</v>
      </c>
      <c r="H19" s="65">
        <v>22485327</v>
      </c>
      <c r="I19" s="65">
        <v>22560249</v>
      </c>
      <c r="J19" s="65">
        <v>22529596</v>
      </c>
      <c r="K19" s="65">
        <v>22585132</v>
      </c>
      <c r="L19" s="65">
        <v>26785794</v>
      </c>
      <c r="M19" s="65">
        <v>26891037</v>
      </c>
      <c r="N19" s="65">
        <v>25854561</v>
      </c>
      <c r="O19" s="65">
        <v>26072019</v>
      </c>
      <c r="P19" s="65">
        <v>24523995</v>
      </c>
      <c r="Q19" s="65">
        <v>26026522</v>
      </c>
      <c r="R19" s="65">
        <f t="shared" si="0"/>
        <v>26159751.769230768</v>
      </c>
      <c r="S19" s="1"/>
      <c r="T19" s="309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</row>
    <row r="20" spans="1:69" ht="15.75">
      <c r="A20" s="55">
        <f t="shared" si="1"/>
        <v>6</v>
      </c>
      <c r="B20" s="3"/>
      <c r="C20" s="188" t="s">
        <v>68</v>
      </c>
      <c r="D20" s="1" t="s">
        <v>67</v>
      </c>
      <c r="E20" s="65">
        <v>7022205.6799999997</v>
      </c>
      <c r="F20" s="65">
        <v>7769749.8300000001</v>
      </c>
      <c r="G20" s="65">
        <v>7323717.5899999999</v>
      </c>
      <c r="H20" s="65">
        <v>7335249.5700000003</v>
      </c>
      <c r="I20" s="65">
        <v>7346422.7800000003</v>
      </c>
      <c r="J20" s="65">
        <v>7405150.4100000001</v>
      </c>
      <c r="K20" s="65">
        <v>7282998.3499999996</v>
      </c>
      <c r="L20" s="65">
        <v>7282829.8400000008</v>
      </c>
      <c r="M20" s="65">
        <v>7282342.1500000004</v>
      </c>
      <c r="N20" s="65">
        <v>7277905.8000000007</v>
      </c>
      <c r="O20" s="65">
        <v>7277956.3500000006</v>
      </c>
      <c r="P20" s="65">
        <v>7278047.4200000009</v>
      </c>
      <c r="Q20" s="65">
        <v>7278054.4600000009</v>
      </c>
      <c r="R20" s="65">
        <f t="shared" si="0"/>
        <v>7320202.325384615</v>
      </c>
      <c r="S20" s="1"/>
      <c r="T20" s="309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</row>
    <row r="21" spans="1:69" ht="15.75">
      <c r="A21" s="55">
        <f t="shared" si="1"/>
        <v>7</v>
      </c>
      <c r="B21" s="3"/>
      <c r="C21" s="188" t="s">
        <v>157</v>
      </c>
      <c r="D21" s="1" t="s">
        <v>158</v>
      </c>
      <c r="E21" s="65"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>
        <v>0</v>
      </c>
      <c r="R21" s="65">
        <f t="shared" si="0"/>
        <v>0</v>
      </c>
      <c r="S21" s="1"/>
      <c r="T21" s="309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</row>
    <row r="22" spans="1:69" ht="15.75">
      <c r="A22" s="55">
        <f t="shared" si="1"/>
        <v>8</v>
      </c>
      <c r="B22" s="3"/>
      <c r="C22" s="189" t="s">
        <v>5</v>
      </c>
      <c r="D22" s="1" t="str">
        <f>"(sum lines "&amp;A15&amp;" - "&amp;A21&amp;")"</f>
        <v>(sum lines 1 - 7)</v>
      </c>
      <c r="E22" s="88">
        <f>SUM(E15:E21)</f>
        <v>1373083909.98</v>
      </c>
      <c r="F22" s="88">
        <f>SUM(F15:F21)</f>
        <v>1374765416.4400001</v>
      </c>
      <c r="G22" s="88">
        <f t="shared" ref="G22:R22" si="2">SUM(G15:G21)</f>
        <v>1373852776.6499999</v>
      </c>
      <c r="H22" s="88">
        <f t="shared" si="2"/>
        <v>1363459323.5800002</v>
      </c>
      <c r="I22" s="88">
        <f t="shared" si="2"/>
        <v>1367933306.8800001</v>
      </c>
      <c r="J22" s="88">
        <f t="shared" si="2"/>
        <v>1371134642.7</v>
      </c>
      <c r="K22" s="88">
        <f t="shared" si="2"/>
        <v>1371289060.0500002</v>
      </c>
      <c r="L22" s="88">
        <f t="shared" si="2"/>
        <v>1379983521.1600001</v>
      </c>
      <c r="M22" s="88">
        <f t="shared" si="2"/>
        <v>1388301561.9300003</v>
      </c>
      <c r="N22" s="88">
        <f t="shared" si="2"/>
        <v>1388658991.7700002</v>
      </c>
      <c r="O22" s="88">
        <f t="shared" si="2"/>
        <v>1399545984.29</v>
      </c>
      <c r="P22" s="88">
        <f t="shared" si="2"/>
        <v>1456533665.3100002</v>
      </c>
      <c r="Q22" s="88">
        <f t="shared" si="2"/>
        <v>1471332676.6600001</v>
      </c>
      <c r="R22" s="88">
        <f t="shared" si="2"/>
        <v>1390759602.8769233</v>
      </c>
      <c r="S22" s="1"/>
      <c r="T22" s="309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</row>
    <row r="23" spans="1:69">
      <c r="A23" s="55">
        <f t="shared" si="1"/>
        <v>9</v>
      </c>
      <c r="B23" s="3"/>
      <c r="C23" s="188"/>
      <c r="D23" s="1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"/>
      <c r="T23" s="1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</row>
    <row r="24" spans="1:69">
      <c r="A24" s="55">
        <f t="shared" si="1"/>
        <v>10</v>
      </c>
      <c r="B24" s="3"/>
      <c r="C24" s="188" t="s">
        <v>31</v>
      </c>
      <c r="D24" s="1" t="s">
        <v>316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1"/>
      <c r="T24" s="1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</row>
    <row r="25" spans="1:69" ht="15.75">
      <c r="A25" s="55">
        <f t="shared" si="1"/>
        <v>11</v>
      </c>
      <c r="B25" s="3"/>
      <c r="C25" s="188" t="str">
        <f>+C15</f>
        <v xml:space="preserve">  Production</v>
      </c>
      <c r="D25" s="1" t="s">
        <v>314</v>
      </c>
      <c r="E25" s="65">
        <v>216844325.024499</v>
      </c>
      <c r="F25" s="65">
        <v>216920717.55439132</v>
      </c>
      <c r="G25" s="65">
        <v>215694746.26058871</v>
      </c>
      <c r="H25" s="65">
        <v>213618796.97700423</v>
      </c>
      <c r="I25" s="65">
        <v>213385305.81259173</v>
      </c>
      <c r="J25" s="65">
        <v>212952504.67539704</v>
      </c>
      <c r="K25" s="65">
        <v>214181384.62405822</v>
      </c>
      <c r="L25" s="65">
        <v>215057283.57422039</v>
      </c>
      <c r="M25" s="65">
        <v>216263696.00549954</v>
      </c>
      <c r="N25" s="65">
        <v>217370139.68340984</v>
      </c>
      <c r="O25" s="65">
        <v>218718823.57146594</v>
      </c>
      <c r="P25" s="65">
        <v>220183332.0404807</v>
      </c>
      <c r="Q25" s="65">
        <v>218559376.06602514</v>
      </c>
      <c r="R25" s="65">
        <f t="shared" ref="R25:R31" si="3">AVERAGE(E25:Q25)</f>
        <v>216134648.60535628</v>
      </c>
      <c r="S25" s="1"/>
      <c r="T25" s="309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</row>
    <row r="26" spans="1:69" ht="15.75">
      <c r="A26" s="55">
        <f t="shared" si="1"/>
        <v>12</v>
      </c>
      <c r="B26" s="3"/>
      <c r="C26" s="188" t="s">
        <v>153</v>
      </c>
      <c r="D26" s="1" t="s">
        <v>86</v>
      </c>
      <c r="E26" s="65">
        <v>52955588.904141106</v>
      </c>
      <c r="F26" s="65">
        <v>53411211.959103376</v>
      </c>
      <c r="G26" s="65">
        <v>53472176.834304377</v>
      </c>
      <c r="H26" s="65">
        <v>53485456.275402166</v>
      </c>
      <c r="I26" s="65">
        <v>54820092.358813584</v>
      </c>
      <c r="J26" s="65">
        <v>44749793.104769669</v>
      </c>
      <c r="K26" s="65">
        <v>45192577.504721604</v>
      </c>
      <c r="L26" s="65">
        <v>46160604.730480283</v>
      </c>
      <c r="M26" s="65">
        <v>46596893.603714556</v>
      </c>
      <c r="N26" s="65">
        <v>43599756.049030729</v>
      </c>
      <c r="O26" s="65">
        <v>44035813.340058751</v>
      </c>
      <c r="P26" s="65">
        <v>44476785.947856553</v>
      </c>
      <c r="Q26" s="65">
        <v>44394064.420561269</v>
      </c>
      <c r="R26" s="65">
        <f t="shared" si="3"/>
        <v>48257755.002535231</v>
      </c>
      <c r="S26" s="1"/>
      <c r="T26" s="309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</row>
    <row r="27" spans="1:69" ht="15.75">
      <c r="A27" s="55">
        <f t="shared" si="1"/>
        <v>13</v>
      </c>
      <c r="B27" s="3"/>
      <c r="C27" s="188" t="s">
        <v>154</v>
      </c>
      <c r="D27" s="1" t="s">
        <v>87</v>
      </c>
      <c r="E27" s="65">
        <v>149989607.09983113</v>
      </c>
      <c r="F27" s="65">
        <v>150422492.38138175</v>
      </c>
      <c r="G27" s="65">
        <v>151385314.45765832</v>
      </c>
      <c r="H27" s="65">
        <v>149875636.26788309</v>
      </c>
      <c r="I27" s="65">
        <v>153222769.62764359</v>
      </c>
      <c r="J27" s="65">
        <v>154256050.87261206</v>
      </c>
      <c r="K27" s="65">
        <v>151857959.38683981</v>
      </c>
      <c r="L27" s="65">
        <v>155927252.71814132</v>
      </c>
      <c r="M27" s="65">
        <v>156645458.98652723</v>
      </c>
      <c r="N27" s="65">
        <v>153989146.7761139</v>
      </c>
      <c r="O27" s="65">
        <v>158544653.57467556</v>
      </c>
      <c r="P27" s="65">
        <v>159438861.2897315</v>
      </c>
      <c r="Q27" s="65">
        <v>154227433.02753505</v>
      </c>
      <c r="R27" s="65">
        <f>AVERAGE(E27:Q27)</f>
        <v>153829433.57435185</v>
      </c>
      <c r="S27" s="1"/>
      <c r="T27" s="309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</row>
    <row r="28" spans="1:69" ht="15.75">
      <c r="A28" s="55">
        <f t="shared" si="1"/>
        <v>14</v>
      </c>
      <c r="B28" s="3"/>
      <c r="C28" s="188" t="str">
        <f>+C18</f>
        <v xml:space="preserve">  General &amp; Intangible</v>
      </c>
      <c r="D28" s="1" t="s">
        <v>329</v>
      </c>
      <c r="E28" s="65">
        <v>24290489.223024126</v>
      </c>
      <c r="F28" s="65">
        <v>25822129.151476711</v>
      </c>
      <c r="G28" s="65">
        <v>26066810.02064345</v>
      </c>
      <c r="H28" s="65">
        <v>26245366.122445501</v>
      </c>
      <c r="I28" s="65">
        <v>26518619.732792538</v>
      </c>
      <c r="J28" s="65">
        <v>26633261.031010434</v>
      </c>
      <c r="K28" s="65">
        <v>26590992.363663442</v>
      </c>
      <c r="L28" s="65">
        <v>26773880.876545895</v>
      </c>
      <c r="M28" s="65">
        <v>26997740.41891152</v>
      </c>
      <c r="N28" s="65">
        <v>26244430.494853701</v>
      </c>
      <c r="O28" s="65">
        <v>26477019.245135877</v>
      </c>
      <c r="P28" s="65">
        <v>26588314.012590423</v>
      </c>
      <c r="Q28" s="65">
        <v>29306963.765748475</v>
      </c>
      <c r="R28" s="65">
        <f t="shared" si="3"/>
        <v>26504308.95837247</v>
      </c>
      <c r="S28" s="1"/>
      <c r="T28" s="309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</row>
    <row r="29" spans="1:69" ht="15.75">
      <c r="A29" s="55">
        <f t="shared" si="1"/>
        <v>15</v>
      </c>
      <c r="B29" s="3"/>
      <c r="C29" s="188" t="s">
        <v>101</v>
      </c>
      <c r="D29" s="1" t="s">
        <v>330</v>
      </c>
      <c r="E29" s="65">
        <v>14419049</v>
      </c>
      <c r="F29" s="65">
        <v>14223228</v>
      </c>
      <c r="G29" s="65">
        <v>14488805</v>
      </c>
      <c r="H29" s="65">
        <v>724680</v>
      </c>
      <c r="I29" s="65">
        <v>1017654</v>
      </c>
      <c r="J29" s="65">
        <v>1270861</v>
      </c>
      <c r="K29" s="65">
        <v>1549328</v>
      </c>
      <c r="L29" s="65">
        <v>2943024</v>
      </c>
      <c r="M29" s="65">
        <v>3255584</v>
      </c>
      <c r="N29" s="65">
        <v>3107260</v>
      </c>
      <c r="O29" s="65">
        <v>3441111</v>
      </c>
      <c r="P29" s="65">
        <v>2132476</v>
      </c>
      <c r="Q29" s="65">
        <v>1972780</v>
      </c>
      <c r="R29" s="65">
        <f t="shared" si="3"/>
        <v>4965064.615384615</v>
      </c>
      <c r="S29" s="1"/>
      <c r="T29" s="309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</row>
    <row r="30" spans="1:69" ht="15.75">
      <c r="A30" s="55">
        <f t="shared" si="1"/>
        <v>16</v>
      </c>
      <c r="B30" s="3"/>
      <c r="C30" s="188" t="str">
        <f>+C20</f>
        <v xml:space="preserve">  Communication System</v>
      </c>
      <c r="D30" s="1" t="s">
        <v>331</v>
      </c>
      <c r="E30" s="65">
        <v>4484534.3035359178</v>
      </c>
      <c r="F30" s="65">
        <v>2986263.537792108</v>
      </c>
      <c r="G30" s="65">
        <v>3021142.1994945812</v>
      </c>
      <c r="H30" s="65">
        <v>3055126.6039561871</v>
      </c>
      <c r="I30" s="65">
        <v>3089159.3816701747</v>
      </c>
      <c r="J30" s="65">
        <v>3123343.1664302452</v>
      </c>
      <c r="K30" s="65">
        <v>3026039.393955241</v>
      </c>
      <c r="L30" s="65">
        <v>3059705.3728972967</v>
      </c>
      <c r="M30" s="65">
        <v>3093369.9296297231</v>
      </c>
      <c r="N30" s="65">
        <v>3125592.4681721344</v>
      </c>
      <c r="O30" s="65">
        <v>3159236.7922477196</v>
      </c>
      <c r="P30" s="65">
        <v>3192881.4086204469</v>
      </c>
      <c r="Q30" s="65">
        <v>3226526.2548353998</v>
      </c>
      <c r="R30" s="65">
        <f t="shared" si="3"/>
        <v>3203301.6010182444</v>
      </c>
      <c r="S30" s="1"/>
      <c r="T30" s="309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</row>
    <row r="31" spans="1:69" ht="15.75">
      <c r="A31" s="55">
        <f t="shared" si="1"/>
        <v>17</v>
      </c>
      <c r="B31" s="3"/>
      <c r="C31" s="188" t="str">
        <f>+C21</f>
        <v xml:space="preserve">  Common</v>
      </c>
      <c r="D31" s="1" t="s">
        <v>158</v>
      </c>
      <c r="E31" s="65">
        <v>0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>
        <v>0</v>
      </c>
      <c r="R31" s="65">
        <f t="shared" si="3"/>
        <v>0</v>
      </c>
      <c r="S31" s="1"/>
      <c r="T31" s="309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</row>
    <row r="32" spans="1:69" ht="15.75">
      <c r="A32" s="55">
        <f t="shared" si="1"/>
        <v>18</v>
      </c>
      <c r="B32" s="3"/>
      <c r="C32" s="188" t="s">
        <v>7</v>
      </c>
      <c r="D32" s="1" t="str">
        <f>"(sum lines "&amp;A25&amp;" - "&amp;A31&amp;")"</f>
        <v>(sum lines 11 - 17)</v>
      </c>
      <c r="E32" s="88">
        <f>SUM(E25:E31)</f>
        <v>462983593.5550313</v>
      </c>
      <c r="F32" s="88">
        <f t="shared" ref="F32:R32" si="4">SUM(F25:F31)</f>
        <v>463786042.58414531</v>
      </c>
      <c r="G32" s="88">
        <f t="shared" si="4"/>
        <v>464128994.77268946</v>
      </c>
      <c r="H32" s="88">
        <f t="shared" si="4"/>
        <v>447005062.24669117</v>
      </c>
      <c r="I32" s="88">
        <f t="shared" si="4"/>
        <v>452053600.91351163</v>
      </c>
      <c r="J32" s="88">
        <f t="shared" si="4"/>
        <v>442985813.85021943</v>
      </c>
      <c r="K32" s="88">
        <f t="shared" si="4"/>
        <v>442398281.2732383</v>
      </c>
      <c r="L32" s="88">
        <f t="shared" si="4"/>
        <v>449921751.27228516</v>
      </c>
      <c r="M32" s="88">
        <f t="shared" si="4"/>
        <v>452852742.94428259</v>
      </c>
      <c r="N32" s="88">
        <f t="shared" si="4"/>
        <v>447436325.47158027</v>
      </c>
      <c r="O32" s="88">
        <f>SUM(O25:O31)</f>
        <v>454376657.52358383</v>
      </c>
      <c r="P32" s="88">
        <f>SUM(P25:P31)</f>
        <v>456012650.69927967</v>
      </c>
      <c r="Q32" s="88">
        <f>SUM(Q25:Q31)</f>
        <v>451687143.53470534</v>
      </c>
      <c r="R32" s="88">
        <f t="shared" si="4"/>
        <v>452894512.35701871</v>
      </c>
      <c r="S32" s="1"/>
      <c r="T32" s="309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</row>
    <row r="33" spans="1:69">
      <c r="A33" s="55">
        <f t="shared" si="1"/>
        <v>19</v>
      </c>
      <c r="B33" s="3"/>
      <c r="C33" s="3"/>
      <c r="D33" s="1" t="s">
        <v>133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1"/>
      <c r="T33" s="1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</row>
    <row r="34" spans="1:69">
      <c r="A34" s="55">
        <f t="shared" si="1"/>
        <v>20</v>
      </c>
      <c r="B34" s="3"/>
      <c r="C34" s="188" t="s">
        <v>161</v>
      </c>
      <c r="D34" s="1" t="s">
        <v>316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1"/>
      <c r="T34" s="1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</row>
    <row r="35" spans="1:69" ht="15.75">
      <c r="A35" s="55">
        <f t="shared" si="1"/>
        <v>21</v>
      </c>
      <c r="B35" s="3"/>
      <c r="C35" s="188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65">
        <f t="shared" ref="E35:E41" si="6">+E15-E25</f>
        <v>399392979.51550096</v>
      </c>
      <c r="F35" s="65">
        <f t="shared" ref="F35:Q35" si="7">+F15-F25</f>
        <v>400135434.98560876</v>
      </c>
      <c r="G35" s="65">
        <f t="shared" si="7"/>
        <v>398833801.30941123</v>
      </c>
      <c r="H35" s="65">
        <f t="shared" si="7"/>
        <v>397156030.07299584</v>
      </c>
      <c r="I35" s="65">
        <f t="shared" si="7"/>
        <v>396648101.97740823</v>
      </c>
      <c r="J35" s="65">
        <f t="shared" si="7"/>
        <v>395704986.99460292</v>
      </c>
      <c r="K35" s="65">
        <f t="shared" si="7"/>
        <v>394488576.56594181</v>
      </c>
      <c r="L35" s="65">
        <f t="shared" si="7"/>
        <v>390722645.25577962</v>
      </c>
      <c r="M35" s="65">
        <f t="shared" si="7"/>
        <v>389913362.63450056</v>
      </c>
      <c r="N35" s="65">
        <f t="shared" si="7"/>
        <v>388836377.40659022</v>
      </c>
      <c r="O35" s="65">
        <f t="shared" si="7"/>
        <v>387907060.89853418</v>
      </c>
      <c r="P35" s="65">
        <f t="shared" si="7"/>
        <v>438073045.29951918</v>
      </c>
      <c r="Q35" s="65">
        <f t="shared" si="7"/>
        <v>444801570.51397479</v>
      </c>
      <c r="R35" s="65">
        <f>R15-R25</f>
        <v>401739536.41772074</v>
      </c>
      <c r="S35" s="1"/>
      <c r="T35" s="309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</row>
    <row r="36" spans="1:69" ht="15.75">
      <c r="A36" s="55">
        <f t="shared" si="1"/>
        <v>22</v>
      </c>
      <c r="B36" s="3"/>
      <c r="C36" s="188" t="s">
        <v>153</v>
      </c>
      <c r="D36" s="1" t="str">
        <f t="shared" si="5"/>
        <v>(line 2 - line 12)</v>
      </c>
      <c r="E36" s="65">
        <f t="shared" si="6"/>
        <v>182180243.0358589</v>
      </c>
      <c r="F36" s="65">
        <f t="shared" ref="F36:Q41" si="8">+F16-F26</f>
        <v>182127394.81089664</v>
      </c>
      <c r="G36" s="65">
        <f t="shared" si="8"/>
        <v>182368918.90569562</v>
      </c>
      <c r="H36" s="65">
        <f t="shared" si="8"/>
        <v>182733944.17459786</v>
      </c>
      <c r="I36" s="65">
        <f t="shared" si="8"/>
        <v>181800202.77118641</v>
      </c>
      <c r="J36" s="65">
        <f t="shared" si="8"/>
        <v>189927570.08523035</v>
      </c>
      <c r="K36" s="65">
        <f t="shared" si="8"/>
        <v>189596057.78527844</v>
      </c>
      <c r="L36" s="65">
        <f t="shared" si="8"/>
        <v>191548212.87951976</v>
      </c>
      <c r="M36" s="65">
        <f t="shared" si="8"/>
        <v>191144677.68628547</v>
      </c>
      <c r="N36" s="65">
        <f t="shared" si="8"/>
        <v>190879947.66096932</v>
      </c>
      <c r="O36" s="65">
        <f t="shared" si="8"/>
        <v>190438612.19994125</v>
      </c>
      <c r="P36" s="65">
        <f t="shared" si="8"/>
        <v>190820997.13214347</v>
      </c>
      <c r="Q36" s="65">
        <f t="shared" si="8"/>
        <v>196752776.66943872</v>
      </c>
      <c r="R36" s="65">
        <f t="shared" ref="R36:R41" si="9">R16-R26</f>
        <v>187870735.06131095</v>
      </c>
      <c r="S36" s="1"/>
      <c r="T36" s="309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</row>
    <row r="37" spans="1:69" ht="15.75">
      <c r="A37" s="55">
        <f t="shared" si="1"/>
        <v>23</v>
      </c>
      <c r="B37" s="3"/>
      <c r="C37" s="188" t="s">
        <v>234</v>
      </c>
      <c r="D37" s="1" t="str">
        <f t="shared" si="5"/>
        <v>(line 3 - line 13)</v>
      </c>
      <c r="E37" s="65">
        <f t="shared" si="6"/>
        <v>281793454.40016878</v>
      </c>
      <c r="F37" s="65">
        <f t="shared" si="8"/>
        <v>282345563.70861822</v>
      </c>
      <c r="G37" s="65">
        <f t="shared" si="8"/>
        <v>282074262.83234167</v>
      </c>
      <c r="H37" s="65">
        <f t="shared" si="8"/>
        <v>285081246.07211685</v>
      </c>
      <c r="I37" s="65">
        <f t="shared" si="8"/>
        <v>286269102.38235652</v>
      </c>
      <c r="J37" s="65">
        <f t="shared" si="8"/>
        <v>291637615.38738793</v>
      </c>
      <c r="K37" s="65">
        <f t="shared" si="8"/>
        <v>294056599.22316027</v>
      </c>
      <c r="L37" s="65">
        <f t="shared" si="8"/>
        <v>294141696.01185864</v>
      </c>
      <c r="M37" s="65">
        <f t="shared" si="8"/>
        <v>300721479.98347294</v>
      </c>
      <c r="N37" s="65">
        <f t="shared" si="8"/>
        <v>308061070.5038861</v>
      </c>
      <c r="O37" s="65">
        <f t="shared" si="8"/>
        <v>312715541.24532449</v>
      </c>
      <c r="P37" s="65">
        <f t="shared" si="8"/>
        <v>315219469.71026856</v>
      </c>
      <c r="Q37" s="65">
        <f t="shared" si="8"/>
        <v>318803747.99246502</v>
      </c>
      <c r="R37" s="65">
        <f t="shared" si="9"/>
        <v>296378526.88103276</v>
      </c>
      <c r="S37" s="1"/>
      <c r="T37" s="309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</row>
    <row r="38" spans="1:69" ht="15.75">
      <c r="A38" s="55">
        <f t="shared" si="1"/>
        <v>24</v>
      </c>
      <c r="B38" s="3"/>
      <c r="C38" s="188" t="str">
        <f>+C28</f>
        <v xml:space="preserve">  General &amp; Intangible</v>
      </c>
      <c r="D38" s="1" t="str">
        <f t="shared" si="5"/>
        <v>(line 4 - line 14)</v>
      </c>
      <c r="E38" s="65">
        <f t="shared" si="6"/>
        <v>26781746.096975867</v>
      </c>
      <c r="F38" s="65">
        <f t="shared" si="8"/>
        <v>25084746.058523297</v>
      </c>
      <c r="G38" s="65">
        <f t="shared" si="8"/>
        <v>25429734.439356558</v>
      </c>
      <c r="H38" s="65">
        <f t="shared" si="8"/>
        <v>25442271.0475545</v>
      </c>
      <c r="I38" s="65">
        <f t="shared" si="8"/>
        <v>25362440.437207464</v>
      </c>
      <c r="J38" s="65">
        <f t="shared" si="8"/>
        <v>25338114.138989568</v>
      </c>
      <c r="K38" s="65">
        <f t="shared" si="8"/>
        <v>25456782.246336572</v>
      </c>
      <c r="L38" s="65">
        <f t="shared" si="8"/>
        <v>25583321.273454111</v>
      </c>
      <c r="M38" s="65">
        <f t="shared" si="8"/>
        <v>25844873.46108849</v>
      </c>
      <c r="N38" s="65">
        <f t="shared" si="8"/>
        <v>26545656.395146299</v>
      </c>
      <c r="O38" s="65">
        <f t="shared" si="8"/>
        <v>27358484.864864122</v>
      </c>
      <c r="P38" s="65">
        <f t="shared" si="8"/>
        <v>29930817.45740959</v>
      </c>
      <c r="Q38" s="65">
        <f t="shared" si="8"/>
        <v>31182167.744251531</v>
      </c>
      <c r="R38" s="65">
        <f t="shared" si="9"/>
        <v>26564704.28162754</v>
      </c>
      <c r="S38" s="1"/>
      <c r="T38" s="309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</row>
    <row r="39" spans="1:69" ht="15.75">
      <c r="A39" s="55">
        <f t="shared" si="1"/>
        <v>25</v>
      </c>
      <c r="B39" s="3"/>
      <c r="C39" s="188" t="s">
        <v>101</v>
      </c>
      <c r="D39" s="1" t="str">
        <f t="shared" si="5"/>
        <v>(line 5 - line 15)</v>
      </c>
      <c r="E39" s="65">
        <f t="shared" si="6"/>
        <v>17414222</v>
      </c>
      <c r="F39" s="65">
        <f t="shared" si="8"/>
        <v>16502748</v>
      </c>
      <c r="G39" s="65">
        <f t="shared" si="8"/>
        <v>16714489</v>
      </c>
      <c r="H39" s="65">
        <f t="shared" si="8"/>
        <v>21760647</v>
      </c>
      <c r="I39" s="65">
        <f t="shared" si="8"/>
        <v>21542595</v>
      </c>
      <c r="J39" s="65">
        <f t="shared" si="8"/>
        <v>21258735</v>
      </c>
      <c r="K39" s="65">
        <f t="shared" si="8"/>
        <v>21035804</v>
      </c>
      <c r="L39" s="65">
        <f t="shared" si="8"/>
        <v>23842770</v>
      </c>
      <c r="M39" s="65">
        <f t="shared" si="8"/>
        <v>23635453</v>
      </c>
      <c r="N39" s="65">
        <f t="shared" si="8"/>
        <v>22747301</v>
      </c>
      <c r="O39" s="65">
        <f t="shared" si="8"/>
        <v>22630908</v>
      </c>
      <c r="P39" s="65">
        <f t="shared" si="8"/>
        <v>22391519</v>
      </c>
      <c r="Q39" s="65">
        <f t="shared" si="8"/>
        <v>24053742</v>
      </c>
      <c r="R39" s="65">
        <f t="shared" si="9"/>
        <v>21194687.153846152</v>
      </c>
      <c r="S39" s="1"/>
      <c r="T39" s="309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</row>
    <row r="40" spans="1:69" ht="15.75">
      <c r="A40" s="55">
        <f t="shared" si="1"/>
        <v>26</v>
      </c>
      <c r="B40" s="3"/>
      <c r="C40" s="188" t="str">
        <f>+C30</f>
        <v xml:space="preserve">  Communication System</v>
      </c>
      <c r="D40" s="1" t="str">
        <f t="shared" si="5"/>
        <v>(line 6 - line 16)</v>
      </c>
      <c r="E40" s="65">
        <f t="shared" si="6"/>
        <v>2537671.3764640819</v>
      </c>
      <c r="F40" s="65">
        <f t="shared" si="8"/>
        <v>4783486.2922078921</v>
      </c>
      <c r="G40" s="65">
        <f t="shared" si="8"/>
        <v>4302575.3905054182</v>
      </c>
      <c r="H40" s="65">
        <f t="shared" si="8"/>
        <v>4280122.9660438132</v>
      </c>
      <c r="I40" s="65">
        <f t="shared" si="8"/>
        <v>4257263.3983298261</v>
      </c>
      <c r="J40" s="65">
        <f t="shared" si="8"/>
        <v>4281807.243569755</v>
      </c>
      <c r="K40" s="65">
        <f t="shared" si="8"/>
        <v>4256958.9560447587</v>
      </c>
      <c r="L40" s="65">
        <f t="shared" si="8"/>
        <v>4223124.4671027046</v>
      </c>
      <c r="M40" s="65">
        <f t="shared" si="8"/>
        <v>4188972.2203702773</v>
      </c>
      <c r="N40" s="65">
        <f t="shared" si="8"/>
        <v>4152313.3318278664</v>
      </c>
      <c r="O40" s="65">
        <f t="shared" si="8"/>
        <v>4118719.557752281</v>
      </c>
      <c r="P40" s="65">
        <f t="shared" si="8"/>
        <v>4085166.0113795539</v>
      </c>
      <c r="Q40" s="65">
        <f>+Q20-Q30</f>
        <v>4051528.2051646011</v>
      </c>
      <c r="R40" s="65">
        <f t="shared" si="9"/>
        <v>4116900.7243663706</v>
      </c>
      <c r="S40" s="1"/>
      <c r="T40" s="309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</row>
    <row r="41" spans="1:69" ht="15.75">
      <c r="A41" s="55">
        <f t="shared" si="1"/>
        <v>27</v>
      </c>
      <c r="B41" s="3"/>
      <c r="C41" s="188" t="str">
        <f>+C31</f>
        <v xml:space="preserve">  Common</v>
      </c>
      <c r="D41" s="1" t="str">
        <f t="shared" si="5"/>
        <v>(line 7 - line 17)</v>
      </c>
      <c r="E41" s="65">
        <f t="shared" si="6"/>
        <v>0</v>
      </c>
      <c r="F41" s="65">
        <f t="shared" si="8"/>
        <v>0</v>
      </c>
      <c r="G41" s="65">
        <f t="shared" si="8"/>
        <v>0</v>
      </c>
      <c r="H41" s="65">
        <f t="shared" si="8"/>
        <v>0</v>
      </c>
      <c r="I41" s="65">
        <f t="shared" si="8"/>
        <v>0</v>
      </c>
      <c r="J41" s="65">
        <f t="shared" si="8"/>
        <v>0</v>
      </c>
      <c r="K41" s="65">
        <f t="shared" si="8"/>
        <v>0</v>
      </c>
      <c r="L41" s="65">
        <f t="shared" si="8"/>
        <v>0</v>
      </c>
      <c r="M41" s="65">
        <f t="shared" si="8"/>
        <v>0</v>
      </c>
      <c r="N41" s="65">
        <f t="shared" si="8"/>
        <v>0</v>
      </c>
      <c r="O41" s="65">
        <f t="shared" si="8"/>
        <v>0</v>
      </c>
      <c r="P41" s="65">
        <f t="shared" si="8"/>
        <v>0</v>
      </c>
      <c r="Q41" s="65">
        <f t="shared" si="8"/>
        <v>0</v>
      </c>
      <c r="R41" s="86">
        <f t="shared" si="9"/>
        <v>0</v>
      </c>
      <c r="S41" s="1"/>
      <c r="T41" s="309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</row>
    <row r="42" spans="1:69" ht="15.75">
      <c r="A42" s="55">
        <f t="shared" si="1"/>
        <v>28</v>
      </c>
      <c r="B42" s="3"/>
      <c r="C42" s="188" t="s">
        <v>6</v>
      </c>
      <c r="D42" s="1" t="str">
        <f>"(sum lines "&amp;A35&amp;" - "&amp;A41&amp;")"</f>
        <v>(sum lines 21 - 27)</v>
      </c>
      <c r="E42" s="88">
        <f>SUM(E35:E41)</f>
        <v>910100316.42496872</v>
      </c>
      <c r="F42" s="88">
        <f t="shared" ref="F42:Q42" si="10">SUM(F35:F41)</f>
        <v>910979373.85585475</v>
      </c>
      <c r="G42" s="88">
        <f t="shared" si="10"/>
        <v>909723781.87731051</v>
      </c>
      <c r="H42" s="88">
        <f t="shared" si="10"/>
        <v>916454261.33330882</v>
      </c>
      <c r="I42" s="88">
        <f t="shared" si="10"/>
        <v>915879705.96648848</v>
      </c>
      <c r="J42" s="88">
        <f t="shared" si="10"/>
        <v>928148828.84978056</v>
      </c>
      <c r="K42" s="88">
        <f t="shared" si="10"/>
        <v>928890778.77676189</v>
      </c>
      <c r="L42" s="88">
        <f t="shared" si="10"/>
        <v>930061769.88771486</v>
      </c>
      <c r="M42" s="88">
        <f t="shared" si="10"/>
        <v>935448818.98571777</v>
      </c>
      <c r="N42" s="88">
        <f t="shared" si="10"/>
        <v>941222666.29841971</v>
      </c>
      <c r="O42" s="88">
        <f t="shared" si="10"/>
        <v>945169326.76641631</v>
      </c>
      <c r="P42" s="88">
        <f t="shared" si="10"/>
        <v>1000521014.6107205</v>
      </c>
      <c r="Q42" s="88">
        <f t="shared" si="10"/>
        <v>1019645533.1252946</v>
      </c>
      <c r="R42" s="88">
        <f>SUM(R35:R41)</f>
        <v>937865090.51990461</v>
      </c>
      <c r="S42" s="1"/>
      <c r="T42" s="309"/>
      <c r="U42" s="310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</row>
    <row r="43" spans="1:69">
      <c r="A43" s="55"/>
      <c r="B43" s="3"/>
      <c r="C43" s="188"/>
      <c r="D43" s="1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1"/>
      <c r="T43" s="311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</row>
    <row r="44" spans="1:69">
      <c r="A44" s="55"/>
      <c r="B44" s="3"/>
      <c r="C44" s="188" t="s">
        <v>317</v>
      </c>
      <c r="D44" s="1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1"/>
      <c r="T44" s="311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</row>
    <row r="45" spans="1:69" ht="18">
      <c r="A45" s="55"/>
      <c r="B45" s="3"/>
      <c r="C45" s="189" t="s">
        <v>318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11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</row>
    <row r="46" spans="1:69">
      <c r="A46" s="55"/>
      <c r="B46" s="3"/>
      <c r="C46" s="18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11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</row>
    <row r="47" spans="1:69" ht="23.25">
      <c r="A47" s="55"/>
      <c r="B47" s="3"/>
      <c r="C47" s="188"/>
      <c r="D47" s="1"/>
      <c r="E47" s="129" t="s">
        <v>394</v>
      </c>
      <c r="F47" s="1"/>
      <c r="G47" s="1"/>
      <c r="H47" s="1"/>
      <c r="I47" s="312"/>
      <c r="J47" s="1"/>
      <c r="K47" s="1"/>
      <c r="L47" s="1"/>
      <c r="M47" s="1"/>
      <c r="N47" s="1"/>
      <c r="O47" s="1"/>
      <c r="P47" s="1"/>
      <c r="Q47" s="1"/>
      <c r="R47" s="1"/>
      <c r="S47" s="1"/>
      <c r="T47" s="311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</row>
    <row r="48" spans="1:69">
      <c r="A48" s="55">
        <f>+A42+1</f>
        <v>29</v>
      </c>
      <c r="B48" s="3"/>
      <c r="C48" s="3"/>
      <c r="D48" s="1"/>
      <c r="E48" s="130" t="s">
        <v>15</v>
      </c>
      <c r="F48" s="130" t="s">
        <v>16</v>
      </c>
      <c r="G48" s="130" t="s">
        <v>17</v>
      </c>
      <c r="H48" s="1"/>
      <c r="I48" s="1"/>
      <c r="J48" s="1"/>
      <c r="K48" s="1"/>
      <c r="L48" s="1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</row>
    <row r="49" spans="1:62">
      <c r="A49" s="55">
        <f t="shared" si="1"/>
        <v>30</v>
      </c>
      <c r="B49" s="3"/>
      <c r="C49" s="189" t="s">
        <v>380</v>
      </c>
      <c r="D49" s="1"/>
      <c r="E49" s="131">
        <v>43800</v>
      </c>
      <c r="F49" s="131">
        <v>44166</v>
      </c>
      <c r="G49" s="1" t="s">
        <v>29</v>
      </c>
      <c r="H49" s="1"/>
      <c r="I49" s="1"/>
      <c r="J49" s="1"/>
      <c r="K49" s="1"/>
      <c r="L49" s="1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</row>
    <row r="50" spans="1:62" ht="15.75">
      <c r="A50" s="55">
        <f t="shared" si="1"/>
        <v>31</v>
      </c>
      <c r="B50" s="3"/>
      <c r="C50" s="188" t="s">
        <v>207</v>
      </c>
      <c r="D50" s="1" t="s">
        <v>307</v>
      </c>
      <c r="E50" s="65">
        <v>0</v>
      </c>
      <c r="F50" s="65">
        <v>0</v>
      </c>
      <c r="G50" s="65">
        <f t="shared" ref="G50:G55" si="11">(+E50+F50)/2</f>
        <v>0</v>
      </c>
      <c r="H50" s="1"/>
      <c r="I50" s="312"/>
      <c r="J50" s="1"/>
      <c r="K50" s="1"/>
      <c r="L50" s="208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</row>
    <row r="51" spans="1:62" ht="15.75">
      <c r="A51" s="55">
        <f t="shared" si="1"/>
        <v>32</v>
      </c>
      <c r="B51" s="3"/>
      <c r="C51" s="188" t="s">
        <v>208</v>
      </c>
      <c r="D51" s="1" t="s">
        <v>308</v>
      </c>
      <c r="E51" s="65">
        <v>-134043659.05689102</v>
      </c>
      <c r="F51" s="65">
        <v>-134794823.62025249</v>
      </c>
      <c r="G51" s="65">
        <f t="shared" si="11"/>
        <v>-134419241.33857176</v>
      </c>
      <c r="H51" s="1"/>
      <c r="I51" s="312"/>
      <c r="J51" s="1"/>
      <c r="K51" s="1"/>
      <c r="L51" s="130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</row>
    <row r="52" spans="1:62" ht="15.75">
      <c r="A52" s="55">
        <f t="shared" si="1"/>
        <v>33</v>
      </c>
      <c r="B52" s="3"/>
      <c r="C52" s="188" t="s">
        <v>209</v>
      </c>
      <c r="D52" s="1" t="s">
        <v>309</v>
      </c>
      <c r="E52" s="86">
        <v>-15736812</v>
      </c>
      <c r="F52" s="86">
        <v>-17983096</v>
      </c>
      <c r="G52" s="65">
        <f t="shared" si="11"/>
        <v>-16859954</v>
      </c>
      <c r="H52" s="1"/>
      <c r="I52" s="312"/>
      <c r="J52" s="1"/>
      <c r="K52" s="1"/>
      <c r="L52" s="208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</row>
    <row r="53" spans="1:62" ht="15.75">
      <c r="A53" s="55">
        <f t="shared" si="1"/>
        <v>34</v>
      </c>
      <c r="B53" s="3"/>
      <c r="C53" s="188" t="s">
        <v>211</v>
      </c>
      <c r="D53" s="1" t="s">
        <v>310</v>
      </c>
      <c r="E53" s="86">
        <v>34673387</v>
      </c>
      <c r="F53" s="86">
        <v>37982694</v>
      </c>
      <c r="G53" s="65">
        <f t="shared" si="11"/>
        <v>36328040.5</v>
      </c>
      <c r="H53" s="1"/>
      <c r="I53" s="312"/>
      <c r="J53" s="1"/>
      <c r="K53" s="1"/>
      <c r="L53" s="208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</row>
    <row r="54" spans="1:62" ht="15.75">
      <c r="A54" s="55">
        <f t="shared" si="1"/>
        <v>35</v>
      </c>
      <c r="B54" s="3"/>
      <c r="C54" s="3" t="s">
        <v>210</v>
      </c>
      <c r="D54" s="1" t="s">
        <v>311</v>
      </c>
      <c r="E54" s="86">
        <v>0</v>
      </c>
      <c r="F54" s="86">
        <v>0</v>
      </c>
      <c r="G54" s="65">
        <f t="shared" si="11"/>
        <v>0</v>
      </c>
      <c r="H54" s="283"/>
      <c r="I54" s="312"/>
      <c r="J54" s="1"/>
      <c r="K54" s="1"/>
      <c r="L54" s="313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</row>
    <row r="55" spans="1:62" ht="15.75">
      <c r="A55" s="55">
        <f t="shared" si="1"/>
        <v>36</v>
      </c>
      <c r="B55" s="3"/>
      <c r="C55" s="188" t="s">
        <v>230</v>
      </c>
      <c r="D55" s="3" t="s">
        <v>375</v>
      </c>
      <c r="E55" s="132">
        <v>-97921552.583960712</v>
      </c>
      <c r="F55" s="132">
        <v>-93343907.373960704</v>
      </c>
      <c r="G55" s="132">
        <f t="shared" si="11"/>
        <v>-95632729.978960708</v>
      </c>
      <c r="H55" s="1"/>
      <c r="I55" s="312"/>
      <c r="J55" s="1"/>
      <c r="K55" s="1"/>
      <c r="L55" s="208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</row>
    <row r="56" spans="1:62" ht="15.75">
      <c r="A56" s="55">
        <f t="shared" si="1"/>
        <v>37</v>
      </c>
      <c r="B56" s="3"/>
      <c r="C56" s="188" t="s">
        <v>8</v>
      </c>
      <c r="D56" s="1" t="str">
        <f>"(sum lines "&amp;A50&amp;" - "&amp;A55&amp;")"</f>
        <v>(sum lines 31 - 36)</v>
      </c>
      <c r="E56" s="65">
        <f>SUM(E50:E55)</f>
        <v>-213028636.64085174</v>
      </c>
      <c r="F56" s="65">
        <f>SUM(F50:F55)</f>
        <v>-208139132.99421319</v>
      </c>
      <c r="G56" s="65">
        <f>SUM(G50:G55)</f>
        <v>-210583884.81753248</v>
      </c>
      <c r="H56" s="1"/>
      <c r="I56" s="312"/>
      <c r="J56" s="1"/>
      <c r="K56" s="1"/>
      <c r="L56" s="314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</row>
    <row r="57" spans="1:62">
      <c r="A57" s="55">
        <f t="shared" si="1"/>
        <v>38</v>
      </c>
      <c r="B57" s="3"/>
      <c r="C57" s="3"/>
      <c r="D57" s="1"/>
      <c r="E57" s="65"/>
      <c r="F57" s="65"/>
      <c r="G57" s="65"/>
      <c r="H57" s="1"/>
      <c r="I57" s="1"/>
      <c r="J57" s="1"/>
      <c r="K57" s="1"/>
      <c r="L57" s="1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</row>
    <row r="58" spans="1:62" ht="15.75">
      <c r="A58" s="55">
        <f t="shared" si="1"/>
        <v>39</v>
      </c>
      <c r="B58" s="3"/>
      <c r="C58" s="189" t="s">
        <v>168</v>
      </c>
      <c r="D58" s="1" t="s">
        <v>377</v>
      </c>
      <c r="E58" s="65"/>
      <c r="F58" s="65"/>
      <c r="G58" s="65">
        <f>(+E58+F58)/2</f>
        <v>0</v>
      </c>
      <c r="H58" s="1"/>
      <c r="I58" s="312"/>
      <c r="J58" s="1"/>
      <c r="K58" s="1"/>
      <c r="L58" s="315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</row>
    <row r="59" spans="1:62">
      <c r="A59" s="55">
        <f t="shared" si="1"/>
        <v>40</v>
      </c>
      <c r="B59" s="3"/>
      <c r="C59" s="188"/>
      <c r="D59" s="1"/>
      <c r="E59" s="65"/>
      <c r="F59" s="65"/>
      <c r="G59" s="65"/>
      <c r="H59" s="1"/>
      <c r="I59" s="1"/>
      <c r="J59" s="1"/>
      <c r="K59" s="1"/>
      <c r="L59" s="1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</row>
    <row r="60" spans="1:62">
      <c r="A60" s="55">
        <f t="shared" si="1"/>
        <v>41</v>
      </c>
      <c r="B60" s="3"/>
      <c r="C60" s="188" t="s">
        <v>378</v>
      </c>
      <c r="D60" s="1"/>
      <c r="E60" s="65"/>
      <c r="F60" s="65"/>
      <c r="G60" s="65"/>
      <c r="H60" s="1"/>
      <c r="I60" s="1"/>
      <c r="J60" s="1"/>
      <c r="K60" s="1"/>
      <c r="L60" s="1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</row>
    <row r="61" spans="1:62">
      <c r="A61" s="55">
        <f t="shared" si="1"/>
        <v>42</v>
      </c>
      <c r="B61" s="3"/>
      <c r="C61" s="188"/>
      <c r="D61" s="3"/>
      <c r="E61" s="65"/>
      <c r="F61" s="65"/>
      <c r="G61" s="65"/>
      <c r="H61" s="1"/>
      <c r="I61" s="1"/>
      <c r="J61" s="1"/>
      <c r="K61" s="1"/>
      <c r="L61" s="229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307"/>
      <c r="AV61" s="307"/>
      <c r="AW61" s="307"/>
      <c r="AX61" s="307"/>
      <c r="AY61" s="307"/>
      <c r="AZ61" s="307"/>
      <c r="BA61" s="307"/>
      <c r="BB61" s="307"/>
      <c r="BC61" s="307"/>
      <c r="BD61" s="307"/>
      <c r="BE61" s="307"/>
      <c r="BF61" s="307"/>
      <c r="BG61" s="307"/>
      <c r="BH61" s="307"/>
      <c r="BI61" s="307"/>
      <c r="BJ61" s="307"/>
    </row>
    <row r="62" spans="1:62" ht="15.75">
      <c r="A62" s="55">
        <f t="shared" si="1"/>
        <v>43</v>
      </c>
      <c r="B62" s="3"/>
      <c r="C62" s="188" t="s">
        <v>271</v>
      </c>
      <c r="D62" s="1" t="s">
        <v>98</v>
      </c>
      <c r="E62" s="86">
        <v>5361285</v>
      </c>
      <c r="F62" s="86">
        <v>6109676</v>
      </c>
      <c r="G62" s="65">
        <f>(+E62+F62)/2</f>
        <v>5735480.5</v>
      </c>
      <c r="H62" s="1"/>
      <c r="I62" s="312"/>
      <c r="J62" s="1"/>
      <c r="K62" s="1"/>
      <c r="L62" s="229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</row>
    <row r="63" spans="1:62" ht="15.75">
      <c r="A63" s="55">
        <f t="shared" si="1"/>
        <v>44</v>
      </c>
      <c r="B63" s="3"/>
      <c r="C63" s="188" t="s">
        <v>271</v>
      </c>
      <c r="D63" s="1" t="s">
        <v>97</v>
      </c>
      <c r="E63" s="86">
        <v>27318</v>
      </c>
      <c r="F63" s="86">
        <v>20816</v>
      </c>
      <c r="G63" s="65">
        <f>(+E63+F63)/2</f>
        <v>24067</v>
      </c>
      <c r="H63" s="1"/>
      <c r="I63" s="312"/>
      <c r="J63" s="1"/>
      <c r="K63" s="1"/>
      <c r="L63" s="229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/>
    </row>
    <row r="64" spans="1:62" ht="15.75">
      <c r="A64" s="55">
        <f t="shared" si="1"/>
        <v>45</v>
      </c>
      <c r="B64" s="3"/>
      <c r="C64" s="188" t="s">
        <v>212</v>
      </c>
      <c r="D64" s="1" t="s">
        <v>40</v>
      </c>
      <c r="E64" s="86">
        <v>3160241</v>
      </c>
      <c r="F64" s="86">
        <v>3140099</v>
      </c>
      <c r="G64" s="65">
        <f>(+E64+F64)/2</f>
        <v>3150170</v>
      </c>
      <c r="H64" s="1"/>
      <c r="I64" s="312"/>
      <c r="J64" s="1"/>
      <c r="K64" s="1"/>
      <c r="L64" s="229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</row>
    <row r="65" spans="1:62" ht="15.75">
      <c r="A65" s="55">
        <f t="shared" si="1"/>
        <v>46</v>
      </c>
      <c r="B65" s="3"/>
      <c r="C65" s="188" t="s">
        <v>9</v>
      </c>
      <c r="D65" s="1" t="str">
        <f>"(sum lines "&amp;A61&amp;" - "&amp;A64&amp;")"</f>
        <v>(sum lines 42 - 45)</v>
      </c>
      <c r="E65" s="88">
        <f>SUM(E62:E64)</f>
        <v>8548844</v>
      </c>
      <c r="F65" s="88">
        <f>SUM(F62:F64)</f>
        <v>9270591</v>
      </c>
      <c r="G65" s="88">
        <f>SUM(G62:G64)</f>
        <v>8909717.5</v>
      </c>
      <c r="H65" s="133"/>
      <c r="I65" s="312"/>
      <c r="J65" s="1"/>
      <c r="K65" s="1"/>
      <c r="L65" s="314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R59"/>
  <sheetViews>
    <sheetView zoomScaleNormal="100" workbookViewId="0">
      <selection activeCell="G75" sqref="G75"/>
    </sheetView>
  </sheetViews>
  <sheetFormatPr defaultColWidth="7.109375" defaultRowHeight="12.75"/>
  <cols>
    <col min="1" max="1" width="4.88671875" style="33" customWidth="1"/>
    <col min="2" max="2" width="15.6640625" style="33" customWidth="1"/>
    <col min="3" max="3" width="7.109375" style="33" customWidth="1"/>
    <col min="4" max="4" width="8.88671875" style="33" customWidth="1"/>
    <col min="5" max="5" width="7.88671875" style="33" customWidth="1"/>
    <col min="6" max="6" width="7.6640625" style="33" customWidth="1"/>
    <col min="7" max="7" width="10.33203125" style="33" customWidth="1"/>
    <col min="8" max="8" width="13" style="33" customWidth="1"/>
    <col min="9" max="9" width="11.88671875" style="33" customWidth="1"/>
    <col min="10" max="10" width="11.5546875" style="33" bestFit="1" customWidth="1"/>
    <col min="11" max="11" width="8" style="33" customWidth="1"/>
    <col min="12" max="16384" width="7.109375" style="33"/>
  </cols>
  <sheetData>
    <row r="1" spans="1:16">
      <c r="K1" s="27"/>
    </row>
    <row r="2" spans="1:16">
      <c r="B2" s="5"/>
      <c r="C2" s="6"/>
      <c r="D2" s="6"/>
      <c r="E2" s="6"/>
      <c r="F2" s="6"/>
      <c r="G2" s="6"/>
      <c r="H2" s="6"/>
      <c r="J2" s="21" t="s">
        <v>352</v>
      </c>
    </row>
    <row r="3" spans="1:16" ht="15" customHeight="1">
      <c r="A3" s="317" t="s">
        <v>273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6" ht="15" customHeight="1">
      <c r="A4" s="317" t="s">
        <v>43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6">
      <c r="B5" s="5"/>
      <c r="C5" s="6"/>
      <c r="D5" s="28"/>
      <c r="E5" s="6"/>
      <c r="G5" s="6"/>
      <c r="H5" s="6"/>
      <c r="I5" s="6"/>
      <c r="J5" s="6"/>
    </row>
    <row r="6" spans="1:16" ht="18.75">
      <c r="A6" s="84" t="s">
        <v>135</v>
      </c>
      <c r="B6" s="5"/>
      <c r="C6" s="6"/>
      <c r="D6" s="327" t="s">
        <v>383</v>
      </c>
      <c r="E6" s="328"/>
      <c r="F6" s="328"/>
      <c r="G6" s="328"/>
      <c r="H6" s="329"/>
      <c r="I6" s="6"/>
      <c r="J6" s="6"/>
      <c r="M6" s="299"/>
    </row>
    <row r="7" spans="1:16" ht="13.5" thickBot="1">
      <c r="A7" s="85" t="s">
        <v>136</v>
      </c>
    </row>
    <row r="8" spans="1:16" ht="15">
      <c r="A8" s="82">
        <v>1</v>
      </c>
      <c r="B8" s="31"/>
      <c r="C8" s="32"/>
      <c r="D8" s="68" t="s">
        <v>37</v>
      </c>
      <c r="E8" s="56" t="s">
        <v>60</v>
      </c>
      <c r="F8" s="56" t="s">
        <v>61</v>
      </c>
      <c r="G8" s="57" t="s">
        <v>62</v>
      </c>
      <c r="H8" s="68" t="s">
        <v>103</v>
      </c>
      <c r="I8" s="68" t="s">
        <v>1</v>
      </c>
      <c r="J8" s="56" t="s">
        <v>239</v>
      </c>
      <c r="K8"/>
    </row>
    <row r="9" spans="1:16" ht="15">
      <c r="A9" s="82">
        <f>A8+1</f>
        <v>2</v>
      </c>
      <c r="B9" s="34"/>
      <c r="C9" s="35"/>
      <c r="D9" s="58" t="s">
        <v>239</v>
      </c>
      <c r="E9" s="58" t="s">
        <v>239</v>
      </c>
      <c r="F9" s="58" t="s">
        <v>63</v>
      </c>
      <c r="G9" s="59" t="s">
        <v>64</v>
      </c>
      <c r="H9" s="60" t="s">
        <v>104</v>
      </c>
      <c r="I9" s="60" t="s">
        <v>2</v>
      </c>
      <c r="J9" s="60" t="s">
        <v>75</v>
      </c>
      <c r="K9"/>
    </row>
    <row r="10" spans="1:16" ht="15.75" thickBot="1">
      <c r="A10" s="82">
        <f t="shared" ref="A10:A47" si="0">A9+1</f>
        <v>3</v>
      </c>
      <c r="B10" s="36"/>
      <c r="C10" s="37"/>
      <c r="D10" s="61" t="s">
        <v>65</v>
      </c>
      <c r="E10" s="58" t="s">
        <v>65</v>
      </c>
      <c r="F10" s="61" t="s">
        <v>65</v>
      </c>
      <c r="G10" s="62" t="s">
        <v>65</v>
      </c>
      <c r="H10" s="69" t="s">
        <v>65</v>
      </c>
      <c r="I10" s="69" t="s">
        <v>65</v>
      </c>
      <c r="J10" s="69" t="s">
        <v>76</v>
      </c>
      <c r="K10"/>
    </row>
    <row r="11" spans="1:16" ht="15">
      <c r="A11" s="82">
        <f t="shared" si="0"/>
        <v>4</v>
      </c>
      <c r="B11" s="70" t="s">
        <v>113</v>
      </c>
      <c r="C11" s="71"/>
      <c r="D11" s="143">
        <v>282</v>
      </c>
      <c r="E11" s="135">
        <v>279</v>
      </c>
      <c r="F11" s="144">
        <v>2</v>
      </c>
      <c r="G11" s="135">
        <v>50</v>
      </c>
      <c r="H11" s="57">
        <v>252</v>
      </c>
      <c r="I11" s="143">
        <v>92</v>
      </c>
      <c r="J11" s="136">
        <f t="shared" ref="J11:J22" si="1">SUM(D11:I11)</f>
        <v>957</v>
      </c>
      <c r="K11"/>
      <c r="M11" s="299"/>
      <c r="N11" s="300"/>
      <c r="P11" s="300"/>
    </row>
    <row r="12" spans="1:16" ht="15">
      <c r="A12" s="82">
        <f t="shared" si="0"/>
        <v>5</v>
      </c>
      <c r="B12" s="70" t="s">
        <v>124</v>
      </c>
      <c r="C12" s="72"/>
      <c r="D12" s="145">
        <v>324</v>
      </c>
      <c r="E12" s="136">
        <v>310</v>
      </c>
      <c r="F12" s="146">
        <v>3</v>
      </c>
      <c r="G12" s="136">
        <v>61</v>
      </c>
      <c r="H12" s="59">
        <v>252</v>
      </c>
      <c r="I12" s="145">
        <v>91</v>
      </c>
      <c r="J12" s="136">
        <f t="shared" si="1"/>
        <v>1041</v>
      </c>
      <c r="K12"/>
      <c r="M12" s="299"/>
      <c r="N12" s="300"/>
      <c r="P12" s="300"/>
    </row>
    <row r="13" spans="1:16" ht="15">
      <c r="A13" s="82">
        <f t="shared" si="0"/>
        <v>6</v>
      </c>
      <c r="B13" s="70" t="s">
        <v>125</v>
      </c>
      <c r="C13" s="72"/>
      <c r="D13" s="145">
        <v>290</v>
      </c>
      <c r="E13" s="136">
        <v>224</v>
      </c>
      <c r="F13" s="146">
        <v>2</v>
      </c>
      <c r="G13" s="136">
        <v>43</v>
      </c>
      <c r="H13" s="59">
        <v>252</v>
      </c>
      <c r="I13" s="145">
        <v>85</v>
      </c>
      <c r="J13" s="136">
        <f t="shared" si="1"/>
        <v>896</v>
      </c>
      <c r="K13"/>
      <c r="M13" s="299"/>
      <c r="N13" s="300"/>
      <c r="P13" s="300"/>
    </row>
    <row r="14" spans="1:16" ht="15">
      <c r="A14" s="82">
        <f t="shared" si="0"/>
        <v>7</v>
      </c>
      <c r="B14" s="70" t="s">
        <v>129</v>
      </c>
      <c r="C14" s="72"/>
      <c r="D14" s="145">
        <v>247</v>
      </c>
      <c r="E14" s="136">
        <v>256</v>
      </c>
      <c r="F14" s="146">
        <v>2</v>
      </c>
      <c r="G14" s="136">
        <v>44</v>
      </c>
      <c r="H14" s="59">
        <v>252</v>
      </c>
      <c r="I14" s="145">
        <v>177</v>
      </c>
      <c r="J14" s="136">
        <f t="shared" si="1"/>
        <v>978</v>
      </c>
      <c r="K14"/>
      <c r="M14" s="299"/>
      <c r="N14" s="300"/>
      <c r="P14" s="300"/>
    </row>
    <row r="15" spans="1:16" ht="15">
      <c r="A15" s="82">
        <f t="shared" si="0"/>
        <v>8</v>
      </c>
      <c r="B15" s="70" t="s">
        <v>130</v>
      </c>
      <c r="C15" s="72"/>
      <c r="D15" s="145">
        <v>226</v>
      </c>
      <c r="E15" s="136">
        <v>240</v>
      </c>
      <c r="F15" s="146">
        <v>2</v>
      </c>
      <c r="G15" s="136">
        <v>39</v>
      </c>
      <c r="H15" s="59">
        <v>252</v>
      </c>
      <c r="I15" s="145">
        <v>179</v>
      </c>
      <c r="J15" s="136">
        <f t="shared" si="1"/>
        <v>938</v>
      </c>
      <c r="K15"/>
      <c r="M15" s="299"/>
      <c r="N15" s="300"/>
      <c r="P15" s="300"/>
    </row>
    <row r="16" spans="1:16" ht="15">
      <c r="A16" s="82">
        <f t="shared" si="0"/>
        <v>9</v>
      </c>
      <c r="B16" s="70" t="s">
        <v>131</v>
      </c>
      <c r="C16" s="72"/>
      <c r="D16" s="145">
        <v>359</v>
      </c>
      <c r="E16" s="136">
        <v>251</v>
      </c>
      <c r="F16" s="146">
        <v>3</v>
      </c>
      <c r="G16" s="136">
        <v>75</v>
      </c>
      <c r="H16" s="59">
        <v>252</v>
      </c>
      <c r="I16" s="145">
        <v>169</v>
      </c>
      <c r="J16" s="136">
        <f t="shared" si="1"/>
        <v>1109</v>
      </c>
      <c r="K16"/>
      <c r="M16" s="299"/>
      <c r="N16" s="300"/>
      <c r="P16" s="300"/>
    </row>
    <row r="17" spans="1:18" ht="15">
      <c r="A17" s="82">
        <f t="shared" si="0"/>
        <v>10</v>
      </c>
      <c r="B17" s="70" t="s">
        <v>126</v>
      </c>
      <c r="C17" s="72"/>
      <c r="D17" s="145">
        <v>356</v>
      </c>
      <c r="E17" s="136">
        <v>251</v>
      </c>
      <c r="F17" s="146">
        <v>2</v>
      </c>
      <c r="G17" s="136">
        <v>68</v>
      </c>
      <c r="H17" s="59">
        <v>252</v>
      </c>
      <c r="I17" s="145">
        <v>171</v>
      </c>
      <c r="J17" s="136">
        <f t="shared" si="1"/>
        <v>1100</v>
      </c>
      <c r="K17"/>
      <c r="M17" s="299"/>
      <c r="N17" s="300"/>
      <c r="P17" s="300"/>
    </row>
    <row r="18" spans="1:18" ht="15">
      <c r="A18" s="82">
        <f t="shared" si="0"/>
        <v>11</v>
      </c>
      <c r="B18" s="70" t="s">
        <v>110</v>
      </c>
      <c r="C18" s="72"/>
      <c r="D18" s="145">
        <v>364</v>
      </c>
      <c r="E18" s="136">
        <v>299</v>
      </c>
      <c r="F18" s="146">
        <v>3</v>
      </c>
      <c r="G18" s="136">
        <v>74</v>
      </c>
      <c r="H18" s="59">
        <v>192</v>
      </c>
      <c r="I18" s="145">
        <v>123</v>
      </c>
      <c r="J18" s="136">
        <f t="shared" si="1"/>
        <v>1055</v>
      </c>
      <c r="K18"/>
      <c r="M18" s="299"/>
      <c r="N18" s="300"/>
      <c r="P18" s="300"/>
    </row>
    <row r="19" spans="1:18" ht="15">
      <c r="A19" s="82">
        <f t="shared" si="0"/>
        <v>12</v>
      </c>
      <c r="B19" s="70" t="s">
        <v>127</v>
      </c>
      <c r="C19" s="72"/>
      <c r="D19" s="145">
        <v>315</v>
      </c>
      <c r="E19" s="136">
        <v>287</v>
      </c>
      <c r="F19" s="146">
        <v>4</v>
      </c>
      <c r="G19" s="136">
        <v>67</v>
      </c>
      <c r="H19" s="59">
        <v>192</v>
      </c>
      <c r="I19" s="145">
        <v>112</v>
      </c>
      <c r="J19" s="136">
        <f t="shared" si="1"/>
        <v>977</v>
      </c>
      <c r="K19"/>
      <c r="M19" s="299"/>
      <c r="N19" s="300"/>
      <c r="P19" s="300"/>
    </row>
    <row r="20" spans="1:18" ht="15">
      <c r="A20" s="82">
        <f t="shared" si="0"/>
        <v>13</v>
      </c>
      <c r="B20" s="70" t="s">
        <v>111</v>
      </c>
      <c r="C20" s="72"/>
      <c r="D20" s="145">
        <v>275</v>
      </c>
      <c r="E20" s="136">
        <v>304</v>
      </c>
      <c r="F20" s="146">
        <v>3</v>
      </c>
      <c r="G20" s="136">
        <v>53</v>
      </c>
      <c r="H20" s="59">
        <v>192</v>
      </c>
      <c r="I20" s="145">
        <v>103</v>
      </c>
      <c r="J20" s="136">
        <f t="shared" si="1"/>
        <v>930</v>
      </c>
      <c r="K20"/>
      <c r="M20" s="299"/>
      <c r="N20" s="300"/>
      <c r="P20" s="300"/>
    </row>
    <row r="21" spans="1:18" ht="15">
      <c r="A21" s="82">
        <f t="shared" si="0"/>
        <v>14</v>
      </c>
      <c r="B21" s="70" t="s">
        <v>112</v>
      </c>
      <c r="C21" s="72"/>
      <c r="D21" s="145">
        <v>299</v>
      </c>
      <c r="E21" s="136">
        <v>325</v>
      </c>
      <c r="F21" s="146">
        <v>3</v>
      </c>
      <c r="G21" s="136">
        <v>62</v>
      </c>
      <c r="H21" s="59">
        <v>192</v>
      </c>
      <c r="I21" s="145">
        <v>109</v>
      </c>
      <c r="J21" s="136">
        <f t="shared" si="1"/>
        <v>990</v>
      </c>
      <c r="K21"/>
      <c r="M21" s="299"/>
      <c r="N21" s="300"/>
      <c r="P21" s="300"/>
    </row>
    <row r="22" spans="1:18" ht="15.75" thickBot="1">
      <c r="A22" s="82">
        <f t="shared" si="0"/>
        <v>15</v>
      </c>
      <c r="B22" s="73" t="s">
        <v>128</v>
      </c>
      <c r="C22" s="74"/>
      <c r="D22" s="147">
        <v>323</v>
      </c>
      <c r="E22" s="137">
        <v>357</v>
      </c>
      <c r="F22" s="148">
        <v>2</v>
      </c>
      <c r="G22" s="137">
        <v>67</v>
      </c>
      <c r="H22" s="148">
        <v>192</v>
      </c>
      <c r="I22" s="147">
        <v>117</v>
      </c>
      <c r="J22" s="137">
        <f t="shared" si="1"/>
        <v>1058</v>
      </c>
      <c r="K22"/>
      <c r="M22" s="299"/>
      <c r="N22" s="300"/>
      <c r="P22" s="300"/>
    </row>
    <row r="23" spans="1:18" ht="15.75" thickBot="1">
      <c r="A23" s="82">
        <f t="shared" si="0"/>
        <v>16</v>
      </c>
      <c r="B23" s="39"/>
      <c r="C23" s="38"/>
      <c r="D23" s="63"/>
      <c r="E23" s="63"/>
      <c r="F23" s="63"/>
      <c r="G23" s="58"/>
      <c r="H23" s="59"/>
      <c r="I23" s="61"/>
      <c r="J23" s="63"/>
      <c r="K23"/>
      <c r="N23" s="300"/>
      <c r="P23" s="300"/>
    </row>
    <row r="24" spans="1:18" ht="15.75" thickBot="1">
      <c r="A24" s="82">
        <f t="shared" si="0"/>
        <v>17</v>
      </c>
      <c r="B24" s="43" t="s">
        <v>82</v>
      </c>
      <c r="C24" s="40"/>
      <c r="D24" s="121">
        <f t="shared" ref="D24:J24" si="2">SUM(D11:D22)/12</f>
        <v>305</v>
      </c>
      <c r="E24" s="121">
        <f t="shared" si="2"/>
        <v>281.91666666666669</v>
      </c>
      <c r="F24" s="121">
        <f t="shared" si="2"/>
        <v>2.5833333333333335</v>
      </c>
      <c r="G24" s="121">
        <f t="shared" si="2"/>
        <v>58.583333333333336</v>
      </c>
      <c r="H24" s="121">
        <f>SUM(H11:H22)/12</f>
        <v>227</v>
      </c>
      <c r="I24" s="64">
        <f t="shared" si="2"/>
        <v>127.33333333333333</v>
      </c>
      <c r="J24" s="64">
        <f t="shared" si="2"/>
        <v>1002.4166666666666</v>
      </c>
      <c r="K24"/>
      <c r="M24" s="299"/>
      <c r="N24" s="300"/>
      <c r="P24" s="300"/>
    </row>
    <row r="25" spans="1:18">
      <c r="A25" s="82">
        <f t="shared" si="0"/>
        <v>18</v>
      </c>
      <c r="D25" s="122"/>
      <c r="E25" s="122"/>
      <c r="F25" s="122"/>
      <c r="G25" s="122"/>
      <c r="H25" s="122"/>
      <c r="L25" s="300"/>
      <c r="M25" s="300"/>
      <c r="N25" s="300"/>
      <c r="O25" s="300"/>
      <c r="P25" s="300"/>
      <c r="Q25" s="300"/>
      <c r="R25" s="300"/>
    </row>
    <row r="26" spans="1:18" ht="18.75">
      <c r="A26" s="82">
        <f t="shared" si="0"/>
        <v>19</v>
      </c>
      <c r="B26" s="5"/>
      <c r="C26" s="6"/>
      <c r="D26" s="330" t="s">
        <v>384</v>
      </c>
      <c r="E26" s="331"/>
      <c r="F26" s="331"/>
      <c r="G26" s="331"/>
      <c r="H26" s="332"/>
      <c r="I26" s="6"/>
      <c r="M26" s="299"/>
    </row>
    <row r="27" spans="1:18" ht="13.5" thickBot="1">
      <c r="A27" s="82">
        <f t="shared" si="0"/>
        <v>20</v>
      </c>
      <c r="D27" s="122"/>
      <c r="E27" s="122"/>
      <c r="F27" s="122"/>
      <c r="G27" s="122"/>
      <c r="H27" s="122"/>
    </row>
    <row r="28" spans="1:18">
      <c r="A28" s="82">
        <f t="shared" si="0"/>
        <v>21</v>
      </c>
      <c r="B28" s="31"/>
      <c r="C28" s="32"/>
      <c r="D28" s="123" t="s">
        <v>37</v>
      </c>
      <c r="E28" s="96" t="s">
        <v>60</v>
      </c>
      <c r="F28" s="96" t="s">
        <v>61</v>
      </c>
      <c r="G28" s="119" t="s">
        <v>62</v>
      </c>
      <c r="H28" s="123" t="s">
        <v>103</v>
      </c>
      <c r="I28" s="68" t="s">
        <v>1</v>
      </c>
      <c r="J28" s="56" t="s">
        <v>239</v>
      </c>
    </row>
    <row r="29" spans="1:18">
      <c r="A29" s="82">
        <f t="shared" si="0"/>
        <v>22</v>
      </c>
      <c r="B29" s="34"/>
      <c r="C29" s="35"/>
      <c r="D29" s="97" t="s">
        <v>239</v>
      </c>
      <c r="E29" s="97" t="s">
        <v>239</v>
      </c>
      <c r="F29" s="97" t="s">
        <v>63</v>
      </c>
      <c r="G29" s="120" t="s">
        <v>64</v>
      </c>
      <c r="H29" s="124" t="s">
        <v>104</v>
      </c>
      <c r="I29" s="60" t="s">
        <v>2</v>
      </c>
      <c r="J29" s="60" t="s">
        <v>75</v>
      </c>
    </row>
    <row r="30" spans="1:18" ht="13.5" thickBot="1">
      <c r="A30" s="82">
        <f t="shared" si="0"/>
        <v>23</v>
      </c>
      <c r="B30" s="36"/>
      <c r="C30" s="37"/>
      <c r="D30" s="98" t="s">
        <v>65</v>
      </c>
      <c r="E30" s="97" t="s">
        <v>65</v>
      </c>
      <c r="F30" s="98" t="s">
        <v>65</v>
      </c>
      <c r="G30" s="125" t="s">
        <v>65</v>
      </c>
      <c r="H30" s="126" t="s">
        <v>65</v>
      </c>
      <c r="I30" s="69" t="s">
        <v>65</v>
      </c>
      <c r="J30" s="69" t="s">
        <v>76</v>
      </c>
    </row>
    <row r="31" spans="1:18">
      <c r="A31" s="82">
        <f t="shared" si="0"/>
        <v>24</v>
      </c>
      <c r="B31" s="70" t="s">
        <v>113</v>
      </c>
      <c r="C31" s="71"/>
      <c r="D31" s="176">
        <v>320</v>
      </c>
      <c r="E31" s="176">
        <v>366</v>
      </c>
      <c r="F31" s="177">
        <v>2</v>
      </c>
      <c r="G31" s="176">
        <v>67</v>
      </c>
      <c r="H31" s="119">
        <v>192</v>
      </c>
      <c r="I31" s="96">
        <v>116</v>
      </c>
      <c r="J31" s="135">
        <f>SUM(D31:I31)</f>
        <v>1063</v>
      </c>
      <c r="K31" s="38"/>
      <c r="L31" s="45"/>
      <c r="M31" s="299"/>
      <c r="N31" s="300"/>
      <c r="O31" s="300"/>
    </row>
    <row r="32" spans="1:18">
      <c r="A32" s="82">
        <f t="shared" si="0"/>
        <v>25</v>
      </c>
      <c r="B32" s="70" t="s">
        <v>124</v>
      </c>
      <c r="C32" s="72"/>
      <c r="D32" s="178">
        <v>315</v>
      </c>
      <c r="E32" s="178">
        <v>365</v>
      </c>
      <c r="F32" s="179">
        <v>3</v>
      </c>
      <c r="G32" s="178">
        <v>63</v>
      </c>
      <c r="H32" s="120">
        <v>192</v>
      </c>
      <c r="I32" s="97">
        <v>114</v>
      </c>
      <c r="J32" s="136">
        <f t="shared" ref="J32:J41" si="3">SUM(D32:I32)</f>
        <v>1052</v>
      </c>
      <c r="K32" s="38"/>
      <c r="M32" s="299"/>
      <c r="N32" s="300"/>
      <c r="O32" s="300"/>
    </row>
    <row r="33" spans="1:15">
      <c r="A33" s="82">
        <f t="shared" si="0"/>
        <v>26</v>
      </c>
      <c r="B33" s="70" t="s">
        <v>125</v>
      </c>
      <c r="C33" s="72"/>
      <c r="D33" s="178">
        <v>293</v>
      </c>
      <c r="E33" s="178">
        <v>332</v>
      </c>
      <c r="F33" s="179">
        <v>2</v>
      </c>
      <c r="G33" s="178">
        <v>60</v>
      </c>
      <c r="H33" s="120">
        <v>192</v>
      </c>
      <c r="I33" s="97">
        <v>105</v>
      </c>
      <c r="J33" s="136">
        <f t="shared" si="3"/>
        <v>984</v>
      </c>
      <c r="K33" s="38"/>
      <c r="M33" s="299"/>
      <c r="N33" s="300"/>
      <c r="O33" s="300"/>
    </row>
    <row r="34" spans="1:15">
      <c r="A34" s="82">
        <f t="shared" si="0"/>
        <v>27</v>
      </c>
      <c r="B34" s="70" t="s">
        <v>129</v>
      </c>
      <c r="C34" s="72"/>
      <c r="D34" s="178">
        <v>269</v>
      </c>
      <c r="E34" s="178">
        <v>313</v>
      </c>
      <c r="F34" s="179">
        <v>2</v>
      </c>
      <c r="G34" s="178">
        <v>53</v>
      </c>
      <c r="H34" s="120">
        <v>192</v>
      </c>
      <c r="I34" s="97">
        <v>100</v>
      </c>
      <c r="J34" s="136">
        <f t="shared" si="3"/>
        <v>929</v>
      </c>
      <c r="K34" s="38"/>
      <c r="M34" s="299"/>
      <c r="N34" s="300"/>
      <c r="O34" s="300"/>
    </row>
    <row r="35" spans="1:15">
      <c r="A35" s="82">
        <f t="shared" si="0"/>
        <v>28</v>
      </c>
      <c r="B35" s="70" t="s">
        <v>130</v>
      </c>
      <c r="C35" s="72"/>
      <c r="D35" s="178">
        <v>277</v>
      </c>
      <c r="E35" s="178">
        <v>277</v>
      </c>
      <c r="F35" s="179">
        <v>2</v>
      </c>
      <c r="G35" s="178">
        <v>57</v>
      </c>
      <c r="H35" s="120">
        <v>192</v>
      </c>
      <c r="I35" s="97">
        <v>103</v>
      </c>
      <c r="J35" s="136">
        <f t="shared" si="3"/>
        <v>908</v>
      </c>
      <c r="K35" s="38"/>
      <c r="M35" s="299"/>
      <c r="N35" s="300"/>
      <c r="O35" s="300"/>
    </row>
    <row r="36" spans="1:15">
      <c r="A36" s="82">
        <f t="shared" si="0"/>
        <v>29</v>
      </c>
      <c r="B36" s="70" t="s">
        <v>131</v>
      </c>
      <c r="C36" s="72"/>
      <c r="D36" s="178">
        <v>343</v>
      </c>
      <c r="E36" s="178">
        <v>275</v>
      </c>
      <c r="F36" s="179">
        <v>3</v>
      </c>
      <c r="G36" s="178">
        <v>70</v>
      </c>
      <c r="H36" s="120">
        <v>192</v>
      </c>
      <c r="I36" s="97">
        <v>119</v>
      </c>
      <c r="J36" s="136">
        <f t="shared" si="3"/>
        <v>1002</v>
      </c>
      <c r="K36" s="38"/>
      <c r="M36" s="299"/>
      <c r="N36" s="300"/>
      <c r="O36" s="300"/>
    </row>
    <row r="37" spans="1:15">
      <c r="A37" s="82">
        <f t="shared" si="0"/>
        <v>30</v>
      </c>
      <c r="B37" s="70" t="s">
        <v>126</v>
      </c>
      <c r="C37" s="72"/>
      <c r="D37" s="178">
        <v>371</v>
      </c>
      <c r="E37" s="178">
        <v>295</v>
      </c>
      <c r="F37" s="179">
        <v>2</v>
      </c>
      <c r="G37" s="178">
        <v>79</v>
      </c>
      <c r="H37" s="120">
        <v>192</v>
      </c>
      <c r="I37" s="97">
        <v>126</v>
      </c>
      <c r="J37" s="136">
        <f t="shared" si="3"/>
        <v>1065</v>
      </c>
      <c r="K37" s="38"/>
      <c r="M37" s="299"/>
      <c r="N37" s="300"/>
      <c r="O37" s="300"/>
    </row>
    <row r="38" spans="1:15">
      <c r="A38" s="82">
        <f t="shared" si="0"/>
        <v>31</v>
      </c>
      <c r="B38" s="70" t="s">
        <v>110</v>
      </c>
      <c r="C38" s="72"/>
      <c r="D38" s="178">
        <v>365</v>
      </c>
      <c r="E38" s="178">
        <v>295</v>
      </c>
      <c r="F38" s="179">
        <v>3</v>
      </c>
      <c r="G38" s="178">
        <v>75</v>
      </c>
      <c r="H38" s="120">
        <v>192</v>
      </c>
      <c r="I38" s="97">
        <v>124</v>
      </c>
      <c r="J38" s="136">
        <f t="shared" si="3"/>
        <v>1054</v>
      </c>
      <c r="K38" s="38"/>
      <c r="M38" s="299"/>
      <c r="N38" s="300"/>
      <c r="O38" s="300"/>
    </row>
    <row r="39" spans="1:15">
      <c r="A39" s="82">
        <f t="shared" si="0"/>
        <v>32</v>
      </c>
      <c r="B39" s="70" t="s">
        <v>127</v>
      </c>
      <c r="C39" s="72"/>
      <c r="D39" s="178">
        <v>316</v>
      </c>
      <c r="E39" s="178">
        <v>283</v>
      </c>
      <c r="F39" s="179">
        <v>4</v>
      </c>
      <c r="G39" s="178">
        <v>68</v>
      </c>
      <c r="H39" s="120">
        <v>192</v>
      </c>
      <c r="I39" s="97">
        <v>113</v>
      </c>
      <c r="J39" s="136">
        <f t="shared" si="3"/>
        <v>976</v>
      </c>
      <c r="K39" s="38"/>
      <c r="M39" s="299"/>
      <c r="N39" s="300"/>
      <c r="O39" s="300"/>
    </row>
    <row r="40" spans="1:15">
      <c r="A40" s="82">
        <f t="shared" si="0"/>
        <v>33</v>
      </c>
      <c r="B40" s="70" t="s">
        <v>111</v>
      </c>
      <c r="C40" s="72"/>
      <c r="D40" s="178">
        <v>276</v>
      </c>
      <c r="E40" s="178">
        <v>299</v>
      </c>
      <c r="F40" s="179">
        <v>3</v>
      </c>
      <c r="G40" s="178">
        <v>54</v>
      </c>
      <c r="H40" s="120">
        <v>192</v>
      </c>
      <c r="I40" s="97">
        <v>103</v>
      </c>
      <c r="J40" s="136">
        <f t="shared" si="3"/>
        <v>927</v>
      </c>
      <c r="K40" s="38"/>
      <c r="M40" s="299"/>
      <c r="N40" s="300"/>
      <c r="O40" s="300"/>
    </row>
    <row r="41" spans="1:15">
      <c r="A41" s="82">
        <f t="shared" si="0"/>
        <v>34</v>
      </c>
      <c r="B41" s="70" t="s">
        <v>112</v>
      </c>
      <c r="C41" s="72"/>
      <c r="D41" s="178">
        <v>300</v>
      </c>
      <c r="E41" s="178">
        <v>320</v>
      </c>
      <c r="F41" s="179">
        <v>3</v>
      </c>
      <c r="G41" s="178">
        <v>63</v>
      </c>
      <c r="H41" s="120">
        <v>192</v>
      </c>
      <c r="I41" s="97">
        <v>109</v>
      </c>
      <c r="J41" s="136">
        <f t="shared" si="3"/>
        <v>987</v>
      </c>
      <c r="K41" s="38"/>
      <c r="M41" s="299"/>
      <c r="N41" s="300"/>
      <c r="O41" s="300"/>
    </row>
    <row r="42" spans="1:15" ht="13.5" thickBot="1">
      <c r="A42" s="82">
        <f t="shared" si="0"/>
        <v>35</v>
      </c>
      <c r="B42" s="73" t="s">
        <v>128</v>
      </c>
      <c r="C42" s="74"/>
      <c r="D42" s="180">
        <v>325</v>
      </c>
      <c r="E42" s="180">
        <v>353</v>
      </c>
      <c r="F42" s="181">
        <v>2</v>
      </c>
      <c r="G42" s="180">
        <v>68</v>
      </c>
      <c r="H42" s="180">
        <v>192</v>
      </c>
      <c r="I42" s="98">
        <v>118</v>
      </c>
      <c r="J42" s="137">
        <f>SUM(D42:I42)</f>
        <v>1058</v>
      </c>
      <c r="K42" s="38"/>
      <c r="M42" s="299"/>
      <c r="N42" s="300"/>
      <c r="O42" s="300"/>
    </row>
    <row r="43" spans="1:15" ht="13.5" thickBot="1">
      <c r="A43" s="82">
        <f t="shared" si="0"/>
        <v>36</v>
      </c>
      <c r="B43" s="39"/>
      <c r="C43" s="38"/>
      <c r="D43" s="182"/>
      <c r="E43" s="182"/>
      <c r="F43" s="182"/>
      <c r="G43" s="182"/>
      <c r="H43" s="182"/>
      <c r="I43" s="182"/>
      <c r="J43" s="182"/>
      <c r="K43" s="38"/>
      <c r="N43" s="300"/>
      <c r="O43" s="300"/>
    </row>
    <row r="44" spans="1:15" ht="13.5" thickBot="1">
      <c r="A44" s="82">
        <f t="shared" si="0"/>
        <v>37</v>
      </c>
      <c r="B44" s="43" t="s">
        <v>82</v>
      </c>
      <c r="C44" s="40"/>
      <c r="D44" s="183">
        <f t="shared" ref="D44:J44" si="4">SUM(D31:D42)/12</f>
        <v>314.16666666666669</v>
      </c>
      <c r="E44" s="121">
        <f t="shared" si="4"/>
        <v>314.41666666666669</v>
      </c>
      <c r="F44" s="184">
        <f t="shared" si="4"/>
        <v>2.5833333333333335</v>
      </c>
      <c r="G44" s="121">
        <f t="shared" si="4"/>
        <v>64.75</v>
      </c>
      <c r="H44" s="185">
        <f t="shared" si="4"/>
        <v>192</v>
      </c>
      <c r="I44" s="186">
        <f t="shared" si="4"/>
        <v>112.5</v>
      </c>
      <c r="J44" s="64">
        <f t="shared" si="4"/>
        <v>1000.4166666666666</v>
      </c>
      <c r="K44" s="128"/>
      <c r="M44" s="299"/>
      <c r="N44" s="300"/>
      <c r="O44" s="300"/>
    </row>
    <row r="45" spans="1:15">
      <c r="A45" s="82">
        <f t="shared" si="0"/>
        <v>38</v>
      </c>
      <c r="N45" s="300"/>
    </row>
    <row r="46" spans="1:15">
      <c r="A46" s="82">
        <f t="shared" si="0"/>
        <v>39</v>
      </c>
      <c r="B46" s="47" t="s">
        <v>382</v>
      </c>
      <c r="C46" s="45"/>
      <c r="D46" s="41"/>
      <c r="E46" s="41"/>
      <c r="F46" s="41"/>
      <c r="G46" s="95"/>
      <c r="H46" s="95"/>
      <c r="I46" s="42"/>
    </row>
    <row r="47" spans="1:15">
      <c r="A47" s="82">
        <f t="shared" si="0"/>
        <v>40</v>
      </c>
      <c r="B47" s="47" t="s">
        <v>315</v>
      </c>
      <c r="C47" s="45"/>
      <c r="G47" s="95"/>
    </row>
    <row r="48" spans="1:15">
      <c r="A48" s="82"/>
      <c r="B48" s="47"/>
      <c r="D48" s="44"/>
      <c r="E48" s="44"/>
    </row>
    <row r="49" spans="1:10">
      <c r="A49" s="82"/>
      <c r="B49" s="75"/>
      <c r="C49" s="76"/>
      <c r="D49" s="77"/>
      <c r="E49" s="77"/>
      <c r="F49" s="76"/>
      <c r="G49" s="76"/>
    </row>
    <row r="50" spans="1:10">
      <c r="A50" s="82"/>
      <c r="B50" s="44"/>
      <c r="C50" s="44"/>
      <c r="D50" s="44"/>
      <c r="E50" s="44"/>
    </row>
    <row r="51" spans="1:10">
      <c r="A51" s="82"/>
      <c r="B51" s="44"/>
      <c r="C51" s="44"/>
      <c r="D51" s="301"/>
      <c r="E51" s="301"/>
      <c r="F51" s="301"/>
      <c r="G51" s="301"/>
      <c r="H51" s="301"/>
      <c r="I51" s="301"/>
      <c r="J51" s="301"/>
    </row>
    <row r="52" spans="1:10">
      <c r="B52" s="44"/>
      <c r="C52" s="44"/>
      <c r="D52" s="301"/>
      <c r="E52" s="301"/>
      <c r="F52" s="301"/>
      <c r="G52" s="301"/>
      <c r="H52" s="301"/>
      <c r="I52" s="301"/>
      <c r="J52" s="301"/>
    </row>
    <row r="53" spans="1:10">
      <c r="B53" s="44"/>
      <c r="C53" s="44"/>
      <c r="D53" s="44"/>
      <c r="E53" s="44"/>
    </row>
    <row r="54" spans="1:10">
      <c r="B54" s="44"/>
      <c r="C54" s="44"/>
      <c r="D54" s="44"/>
      <c r="E54" s="44"/>
    </row>
    <row r="55" spans="1:10">
      <c r="B55" s="44"/>
      <c r="C55" s="44"/>
      <c r="D55" s="44"/>
      <c r="E55" s="44"/>
    </row>
    <row r="56" spans="1:10">
      <c r="B56" s="44"/>
      <c r="C56" s="44"/>
      <c r="D56" s="44"/>
      <c r="E56" s="44"/>
    </row>
    <row r="57" spans="1:10">
      <c r="B57" s="44"/>
      <c r="C57" s="44"/>
      <c r="D57" s="44"/>
      <c r="E57" s="44"/>
    </row>
    <row r="58" spans="1:10">
      <c r="B58" s="44"/>
      <c r="C58" s="44"/>
      <c r="D58" s="44"/>
      <c r="E58" s="44"/>
    </row>
    <row r="59" spans="1:10">
      <c r="B59" s="46"/>
      <c r="C59" s="46"/>
      <c r="D59" s="46"/>
      <c r="E59" s="46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Welbig, Jacki</cp:lastModifiedBy>
  <cp:lastPrinted>2021-09-02T22:21:59Z</cp:lastPrinted>
  <dcterms:created xsi:type="dcterms:W3CDTF">1997-04-03T19:40:56Z</dcterms:created>
  <dcterms:modified xsi:type="dcterms:W3CDTF">2021-09-30T14:28:55Z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