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3 Workfront\638450_23_FERC updates (June)\BHP\"/>
    </mc:Choice>
  </mc:AlternateContent>
  <xr:revisionPtr revIDLastSave="0" documentId="8_{C2FF9DC3-CFB8-4909-8525-32579B67205D}" xr6:coauthVersionLast="47" xr6:coauthVersionMax="47" xr10:uidLastSave="{00000000-0000-0000-0000-000000000000}"/>
  <bookViews>
    <workbookView xWindow="-120" yWindow="-120" windowWidth="29040" windowHeight="15840" tabRatio="724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37" l="1"/>
  <c r="Q82" i="37"/>
  <c r="Q84" i="37"/>
  <c r="Q79" i="37"/>
  <c r="Q74" i="37"/>
  <c r="Q72" i="37"/>
  <c r="Q15" i="37"/>
  <c r="Q30" i="37"/>
  <c r="Q157" i="37"/>
  <c r="Q20" i="37"/>
  <c r="Q167" i="37"/>
  <c r="Q25" i="37"/>
  <c r="Q28" i="37"/>
  <c r="E30" i="37"/>
  <c r="F30" i="37"/>
  <c r="Q27" i="37"/>
  <c r="H28" i="37"/>
  <c r="E25" i="37"/>
  <c r="E35" i="37"/>
  <c r="E95" i="35"/>
  <c r="E77" i="35"/>
  <c r="F15" i="37"/>
  <c r="F25" i="37"/>
  <c r="N164" i="37"/>
  <c r="N154" i="37"/>
  <c r="J184" i="35"/>
  <c r="D17" i="3"/>
  <c r="D11" i="3"/>
  <c r="Q19" i="37"/>
  <c r="P19" i="37"/>
  <c r="O19" i="37"/>
  <c r="Q18" i="37"/>
  <c r="P18" i="37"/>
  <c r="O18" i="37"/>
  <c r="Q17" i="37"/>
  <c r="P17" i="37"/>
  <c r="O17" i="37"/>
  <c r="Q16" i="37"/>
  <c r="P16" i="37"/>
  <c r="O16" i="37"/>
  <c r="P15" i="37"/>
  <c r="O15" i="37"/>
  <c r="E101" i="35"/>
  <c r="Q29" i="37"/>
  <c r="P29" i="37"/>
  <c r="P39" i="37"/>
  <c r="O29" i="37"/>
  <c r="O39" i="37"/>
  <c r="N29" i="37"/>
  <c r="M29" i="37"/>
  <c r="M39" i="37"/>
  <c r="L29" i="37"/>
  <c r="K29" i="37"/>
  <c r="J29" i="37"/>
  <c r="I29" i="37"/>
  <c r="H29" i="37"/>
  <c r="G29" i="37"/>
  <c r="F29" i="37"/>
  <c r="E29" i="37"/>
  <c r="E27" i="37"/>
  <c r="E20" i="37"/>
  <c r="E40" i="37"/>
  <c r="N19" i="37"/>
  <c r="M19" i="37"/>
  <c r="L19" i="37"/>
  <c r="K19" i="37"/>
  <c r="K39" i="37"/>
  <c r="J19" i="37"/>
  <c r="J39" i="37"/>
  <c r="I19" i="37"/>
  <c r="H19" i="37"/>
  <c r="H39" i="37"/>
  <c r="G19" i="37"/>
  <c r="F19" i="37"/>
  <c r="F39" i="37"/>
  <c r="E19" i="37"/>
  <c r="N18" i="37"/>
  <c r="M18" i="37"/>
  <c r="L18" i="37"/>
  <c r="K18" i="37"/>
  <c r="J18" i="37"/>
  <c r="I18" i="37"/>
  <c r="H18" i="37"/>
  <c r="G18" i="37"/>
  <c r="F18" i="37"/>
  <c r="R18" i="37"/>
  <c r="E18" i="35"/>
  <c r="E18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N22" i="37"/>
  <c r="M15" i="37"/>
  <c r="L15" i="37"/>
  <c r="K15" i="37"/>
  <c r="J15" i="37"/>
  <c r="I15" i="37"/>
  <c r="H15" i="37"/>
  <c r="H22" i="37"/>
  <c r="G15" i="37"/>
  <c r="F3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E171" i="37"/>
  <c r="Q16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E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E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Q87" i="37"/>
  <c r="Q26" i="37"/>
  <c r="Q32" i="37"/>
  <c r="P87" i="37"/>
  <c r="P27" i="37"/>
  <c r="O87" i="37"/>
  <c r="O27" i="37"/>
  <c r="N87" i="37"/>
  <c r="N27" i="37"/>
  <c r="M87" i="37"/>
  <c r="L87" i="37"/>
  <c r="L25" i="37"/>
  <c r="L35" i="37"/>
  <c r="K87" i="37"/>
  <c r="J87" i="37"/>
  <c r="I87" i="37"/>
  <c r="I25" i="37"/>
  <c r="H87" i="37"/>
  <c r="G87" i="37"/>
  <c r="G27" i="37"/>
  <c r="G37" i="37"/>
  <c r="F87" i="37"/>
  <c r="F27" i="37"/>
  <c r="C85" i="37"/>
  <c r="C83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L36" i="37"/>
  <c r="P25" i="37"/>
  <c r="P35" i="37"/>
  <c r="H26" i="37"/>
  <c r="H32" i="37"/>
  <c r="P26" i="37"/>
  <c r="P36" i="37"/>
  <c r="H27" i="37"/>
  <c r="H37" i="37"/>
  <c r="E15" i="37"/>
  <c r="E87" i="37"/>
  <c r="O149" i="37"/>
  <c r="L27" i="37"/>
  <c r="L37" i="37"/>
  <c r="H25" i="37"/>
  <c r="E26" i="37"/>
  <c r="E36" i="37"/>
  <c r="M26" i="37"/>
  <c r="M36" i="37"/>
  <c r="E76" i="37"/>
  <c r="J25" i="37"/>
  <c r="J35" i="37"/>
  <c r="F26" i="37"/>
  <c r="F36" i="37"/>
  <c r="N26" i="37"/>
  <c r="N36" i="37"/>
  <c r="J27" i="37"/>
  <c r="Q35" i="37"/>
  <c r="I27" i="37"/>
  <c r="I37" i="37"/>
  <c r="K25" i="37"/>
  <c r="K35" i="37"/>
  <c r="G26" i="37"/>
  <c r="O26" i="37"/>
  <c r="K27" i="37"/>
  <c r="K37" i="37"/>
  <c r="M27" i="37"/>
  <c r="M37" i="37"/>
  <c r="J26" i="37"/>
  <c r="K26" i="37"/>
  <c r="K36" i="37"/>
  <c r="N25" i="37"/>
  <c r="N35" i="37"/>
  <c r="M25" i="37"/>
  <c r="M35" i="37"/>
  <c r="I26" i="37"/>
  <c r="I36" i="37"/>
  <c r="G25" i="37"/>
  <c r="O25" i="37"/>
  <c r="F56" i="37"/>
  <c r="G51" i="37"/>
  <c r="E46" i="35"/>
  <c r="G58" i="37"/>
  <c r="E53" i="35"/>
  <c r="J53" i="35"/>
  <c r="H196" i="35"/>
  <c r="J196" i="35"/>
  <c r="J24" i="24"/>
  <c r="D28" i="3"/>
  <c r="I24" i="24"/>
  <c r="H24" i="24"/>
  <c r="G24" i="24"/>
  <c r="F24" i="24"/>
  <c r="E24" i="24"/>
  <c r="D24" i="24"/>
  <c r="E41" i="37"/>
  <c r="I44" i="24"/>
  <c r="H44" i="24"/>
  <c r="G44" i="24"/>
  <c r="F44" i="24"/>
  <c r="E44" i="24"/>
  <c r="D44" i="24"/>
  <c r="G64" i="37"/>
  <c r="E59" i="35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D20" i="3"/>
  <c r="D27" i="3"/>
  <c r="H31" i="35"/>
  <c r="H11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B22" i="3"/>
  <c r="G12" i="3"/>
  <c r="H12" i="3"/>
  <c r="G13" i="3"/>
  <c r="H13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A19" i="37"/>
  <c r="R21" i="37"/>
  <c r="E21" i="35"/>
  <c r="J21" i="35"/>
  <c r="C25" i="37"/>
  <c r="C35" i="37"/>
  <c r="C28" i="37"/>
  <c r="C38" i="37"/>
  <c r="C30" i="37"/>
  <c r="C40" i="37"/>
  <c r="C31" i="37"/>
  <c r="C41" i="37"/>
  <c r="R31" i="37"/>
  <c r="E31" i="35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G62" i="37"/>
  <c r="G65" i="37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22" i="35"/>
  <c r="H84" i="35"/>
  <c r="H90" i="35"/>
  <c r="J90" i="35"/>
  <c r="J84" i="35"/>
  <c r="J200" i="35"/>
  <c r="E146" i="35"/>
  <c r="G52" i="37"/>
  <c r="E47" i="35"/>
  <c r="G53" i="37"/>
  <c r="G55" i="37"/>
  <c r="E50" i="35"/>
  <c r="I39" i="37"/>
  <c r="G39" i="37"/>
  <c r="L39" i="37"/>
  <c r="F65" i="37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18" i="35"/>
  <c r="E135" i="35"/>
  <c r="A19" i="35"/>
  <c r="A20" i="35"/>
  <c r="A21" i="35"/>
  <c r="D22" i="35"/>
  <c r="A22" i="35"/>
  <c r="A23" i="35"/>
  <c r="A24" i="35"/>
  <c r="A25" i="35"/>
  <c r="A26" i="35"/>
  <c r="D35" i="35"/>
  <c r="A27" i="35"/>
  <c r="D36" i="35"/>
  <c r="E154" i="35"/>
  <c r="E164" i="35"/>
  <c r="A28" i="35"/>
  <c r="D37" i="35"/>
  <c r="A29" i="35"/>
  <c r="D38" i="35"/>
  <c r="A30" i="35"/>
  <c r="D39" i="35"/>
  <c r="A31" i="35"/>
  <c r="D40" i="35"/>
  <c r="A32" i="35"/>
  <c r="A33" i="35"/>
  <c r="A34" i="35"/>
  <c r="A35" i="35"/>
  <c r="D41" i="35"/>
  <c r="D32" i="35"/>
  <c r="A36" i="35"/>
  <c r="A37" i="35"/>
  <c r="A38" i="35"/>
  <c r="A39" i="35"/>
  <c r="A40" i="35"/>
  <c r="A41" i="35"/>
  <c r="A42" i="35"/>
  <c r="D42" i="35"/>
  <c r="A43" i="35"/>
  <c r="A44" i="35"/>
  <c r="A45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76" i="35"/>
  <c r="D62" i="35"/>
  <c r="D60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A147" i="35"/>
  <c r="A148" i="35"/>
  <c r="A149" i="35"/>
  <c r="C151" i="35"/>
  <c r="C149" i="35"/>
  <c r="C143" i="35"/>
  <c r="A150" i="35"/>
  <c r="A151" i="35"/>
  <c r="A152" i="35"/>
  <c r="A153" i="35"/>
  <c r="A154" i="35"/>
  <c r="C139" i="35"/>
  <c r="C141" i="35"/>
  <c r="A155" i="35"/>
  <c r="A156" i="35"/>
  <c r="C156" i="35"/>
  <c r="A157" i="35"/>
  <c r="C158" i="35"/>
  <c r="A158" i="35"/>
  <c r="C159" i="35"/>
  <c r="A159" i="35"/>
  <c r="A160" i="35"/>
  <c r="A161" i="35"/>
  <c r="A162" i="35"/>
  <c r="A163" i="35"/>
  <c r="A164" i="35"/>
  <c r="C161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A194" i="35"/>
  <c r="A195" i="35"/>
  <c r="A196" i="35"/>
  <c r="D198" i="35"/>
  <c r="A197" i="35"/>
  <c r="A198" i="35"/>
  <c r="A199" i="35"/>
  <c r="C113" i="35"/>
  <c r="C199" i="35"/>
  <c r="C107" i="35"/>
  <c r="E85" i="35"/>
  <c r="E56" i="35"/>
  <c r="J44" i="24"/>
  <c r="G36" i="37"/>
  <c r="H35" i="37"/>
  <c r="E56" i="37"/>
  <c r="G22" i="41"/>
  <c r="E45" i="41"/>
  <c r="E49" i="35"/>
  <c r="D22" i="3"/>
  <c r="N52" i="31"/>
  <c r="D30" i="3"/>
  <c r="D32" i="3"/>
  <c r="H14" i="3"/>
  <c r="G23" i="41"/>
  <c r="G24" i="41"/>
  <c r="N53" i="31"/>
  <c r="D33" i="3"/>
  <c r="D34" i="3"/>
  <c r="N54" i="31"/>
  <c r="D31" i="3"/>
  <c r="J37" i="37"/>
  <c r="F37" i="37"/>
  <c r="N39" i="37"/>
  <c r="O36" i="37"/>
  <c r="O37" i="37"/>
  <c r="R29" i="37"/>
  <c r="E29" i="35"/>
  <c r="I35" i="37"/>
  <c r="N37" i="37"/>
  <c r="O35" i="37"/>
  <c r="E39" i="37"/>
  <c r="E48" i="35"/>
  <c r="J199" i="35"/>
  <c r="E106" i="35"/>
  <c r="J28" i="37"/>
  <c r="J38" i="37"/>
  <c r="L28" i="37"/>
  <c r="L38" i="37"/>
  <c r="F28" i="37"/>
  <c r="F32" i="37"/>
  <c r="N28" i="37"/>
  <c r="N38" i="37"/>
  <c r="K28" i="37"/>
  <c r="K38" i="37"/>
  <c r="M28" i="37"/>
  <c r="M38" i="37"/>
  <c r="O28" i="37"/>
  <c r="O38" i="37"/>
  <c r="K20" i="37"/>
  <c r="L20" i="37"/>
  <c r="L22" i="37"/>
  <c r="P28" i="37"/>
  <c r="I28" i="37"/>
  <c r="G30" i="37"/>
  <c r="H30" i="37"/>
  <c r="I30" i="37"/>
  <c r="J30" i="37"/>
  <c r="K30" i="37"/>
  <c r="L30" i="37"/>
  <c r="L40" i="37"/>
  <c r="M30" i="37"/>
  <c r="M40" i="37"/>
  <c r="N30" i="37"/>
  <c r="O30" i="37"/>
  <c r="P30" i="37"/>
  <c r="P40" i="37"/>
  <c r="P38" i="37"/>
  <c r="G28" i="37"/>
  <c r="Q38" i="37"/>
  <c r="F20" i="37"/>
  <c r="F40" i="37"/>
  <c r="G20" i="37"/>
  <c r="H20" i="37"/>
  <c r="H40" i="37"/>
  <c r="I20" i="37"/>
  <c r="I22" i="37"/>
  <c r="J20" i="37"/>
  <c r="J22" i="37"/>
  <c r="M20" i="37"/>
  <c r="N20" i="37"/>
  <c r="N40" i="37"/>
  <c r="O20" i="37"/>
  <c r="O40" i="37"/>
  <c r="P20" i="37"/>
  <c r="G40" i="37"/>
  <c r="F22" i="37"/>
  <c r="M22" i="37"/>
  <c r="J139" i="35"/>
  <c r="J157" i="35"/>
  <c r="P22" i="37"/>
  <c r="K22" i="37"/>
  <c r="R16" i="37"/>
  <c r="E16" i="35"/>
  <c r="G22" i="37"/>
  <c r="E22" i="37"/>
  <c r="R19" i="37"/>
  <c r="E19" i="35"/>
  <c r="R15" i="37"/>
  <c r="E15" i="35"/>
  <c r="Q39" i="37"/>
  <c r="Q36" i="37"/>
  <c r="H36" i="37"/>
  <c r="J36" i="37"/>
  <c r="R26" i="37"/>
  <c r="R36" i="37"/>
  <c r="E41" i="35"/>
  <c r="J31" i="35"/>
  <c r="J41" i="35"/>
  <c r="A20" i="37"/>
  <c r="E88" i="35"/>
  <c r="J135" i="35"/>
  <c r="J141" i="35"/>
  <c r="R25" i="37"/>
  <c r="E25" i="35"/>
  <c r="E35" i="35"/>
  <c r="R17" i="37"/>
  <c r="E17" i="35"/>
  <c r="J146" i="35"/>
  <c r="O22" i="37"/>
  <c r="R41" i="37"/>
  <c r="G56" i="37"/>
  <c r="K40" i="37"/>
  <c r="K42" i="37"/>
  <c r="E37" i="37"/>
  <c r="I40" i="37"/>
  <c r="J40" i="37"/>
  <c r="E57" i="35"/>
  <c r="E60" i="35"/>
  <c r="H38" i="37"/>
  <c r="R20" i="37"/>
  <c r="P37" i="37"/>
  <c r="E51" i="35"/>
  <c r="O42" i="37"/>
  <c r="J151" i="35"/>
  <c r="J147" i="35"/>
  <c r="Q22" i="37"/>
  <c r="Q37" i="37"/>
  <c r="R22" i="37"/>
  <c r="G149" i="37"/>
  <c r="M149" i="37"/>
  <c r="E39" i="35"/>
  <c r="P149" i="37"/>
  <c r="K149" i="37"/>
  <c r="H149" i="37"/>
  <c r="E149" i="37"/>
  <c r="J149" i="37"/>
  <c r="L149" i="37"/>
  <c r="I149" i="37"/>
  <c r="R39" i="37"/>
  <c r="Q149" i="37"/>
  <c r="F149" i="37"/>
  <c r="N149" i="37"/>
  <c r="L42" i="37"/>
  <c r="J42" i="37"/>
  <c r="R27" i="37"/>
  <c r="G35" i="37"/>
  <c r="H42" i="37"/>
  <c r="I32" i="37"/>
  <c r="M42" i="37"/>
  <c r="P32" i="37"/>
  <c r="K32" i="37"/>
  <c r="P42" i="37"/>
  <c r="G32" i="37"/>
  <c r="N42" i="37"/>
  <c r="L32" i="37"/>
  <c r="O32" i="37"/>
  <c r="N32" i="37"/>
  <c r="M32" i="37"/>
  <c r="G38" i="37"/>
  <c r="F38" i="37"/>
  <c r="F42" i="37"/>
  <c r="I38" i="37"/>
  <c r="I42" i="37"/>
  <c r="J32" i="37"/>
  <c r="E20" i="35"/>
  <c r="Q40" i="37"/>
  <c r="Q42" i="37"/>
  <c r="R30" i="37"/>
  <c r="R35" i="37"/>
  <c r="E26" i="35"/>
  <c r="E36" i="35"/>
  <c r="J138" i="35"/>
  <c r="J140" i="35"/>
  <c r="J143" i="35"/>
  <c r="G179" i="35"/>
  <c r="A21" i="37"/>
  <c r="R37" i="37"/>
  <c r="E27" i="35"/>
  <c r="G42" i="37"/>
  <c r="E22" i="35"/>
  <c r="E89" i="35"/>
  <c r="R40" i="37"/>
  <c r="E30" i="35"/>
  <c r="J154" i="35"/>
  <c r="F172" i="35"/>
  <c r="H172" i="35"/>
  <c r="H175" i="35"/>
  <c r="J175" i="35"/>
  <c r="H58" i="35"/>
  <c r="J58" i="35"/>
  <c r="H16" i="35"/>
  <c r="J16" i="35"/>
  <c r="H88" i="35"/>
  <c r="J88" i="35"/>
  <c r="H76" i="35"/>
  <c r="A22" i="37"/>
  <c r="A23" i="37"/>
  <c r="A24" i="37"/>
  <c r="A25" i="37"/>
  <c r="D22" i="37"/>
  <c r="H95" i="35"/>
  <c r="H18" i="35"/>
  <c r="H83" i="35"/>
  <c r="J83" i="35"/>
  <c r="J76" i="35"/>
  <c r="H77" i="35"/>
  <c r="J77" i="35"/>
  <c r="J164" i="35"/>
  <c r="E37" i="35"/>
  <c r="E91" i="35"/>
  <c r="E115" i="35"/>
  <c r="E40" i="35"/>
  <c r="E179" i="35"/>
  <c r="J159" i="35"/>
  <c r="J156" i="35"/>
  <c r="J158" i="35"/>
  <c r="D35" i="37"/>
  <c r="A26" i="37"/>
  <c r="H19" i="35"/>
  <c r="J19" i="35"/>
  <c r="H28" i="35"/>
  <c r="J18" i="35"/>
  <c r="H96" i="35"/>
  <c r="J96" i="35"/>
  <c r="J95" i="35"/>
  <c r="E180" i="35"/>
  <c r="J168" i="35"/>
  <c r="J165" i="35"/>
  <c r="E181" i="35"/>
  <c r="F179" i="35"/>
  <c r="J161" i="35"/>
  <c r="H26" i="35"/>
  <c r="J26" i="35"/>
  <c r="J36" i="35"/>
  <c r="A27" i="37"/>
  <c r="D36" i="37"/>
  <c r="H78" i="35"/>
  <c r="H29" i="35"/>
  <c r="J29" i="35"/>
  <c r="J39" i="35"/>
  <c r="E150" i="37"/>
  <c r="E28" i="37"/>
  <c r="E38" i="37"/>
  <c r="E42" i="37"/>
  <c r="F180" i="35"/>
  <c r="F181" i="35"/>
  <c r="D37" i="37"/>
  <c r="A28" i="37"/>
  <c r="H89" i="35"/>
  <c r="J89" i="35"/>
  <c r="J91" i="35"/>
  <c r="J78" i="35"/>
  <c r="H82" i="35"/>
  <c r="J82" i="35"/>
  <c r="H80" i="35"/>
  <c r="H179" i="35"/>
  <c r="J181" i="35"/>
  <c r="R28" i="37"/>
  <c r="R32" i="37"/>
  <c r="E32" i="37"/>
  <c r="A29" i="37"/>
  <c r="D38" i="37"/>
  <c r="R38" i="37"/>
  <c r="R42" i="37"/>
  <c r="E28" i="35"/>
  <c r="J28" i="35"/>
  <c r="J80" i="35"/>
  <c r="J85" i="35"/>
  <c r="J56" i="35"/>
  <c r="H81" i="35"/>
  <c r="J81" i="35"/>
  <c r="H20" i="35"/>
  <c r="H57" i="35"/>
  <c r="J57" i="35"/>
  <c r="E38" i="35"/>
  <c r="A30" i="37"/>
  <c r="D39" i="37"/>
  <c r="E32" i="35"/>
  <c r="E42" i="35"/>
  <c r="H30" i="35"/>
  <c r="J30" i="35"/>
  <c r="J32" i="35"/>
  <c r="J20" i="35"/>
  <c r="J38" i="35"/>
  <c r="A31" i="37"/>
  <c r="D40" i="37"/>
  <c r="J22" i="35"/>
  <c r="H22" i="35"/>
  <c r="J40" i="35"/>
  <c r="J42" i="35"/>
  <c r="H42" i="35"/>
  <c r="H46" i="35"/>
  <c r="J46" i="35"/>
  <c r="A32" i="37"/>
  <c r="A33" i="37"/>
  <c r="A34" i="37"/>
  <c r="A35" i="37"/>
  <c r="D41" i="37"/>
  <c r="D32" i="37"/>
  <c r="H47" i="35"/>
  <c r="J47" i="35"/>
  <c r="H59" i="35"/>
  <c r="J59" i="35"/>
  <c r="J60" i="35"/>
  <c r="H98" i="35"/>
  <c r="A36" i="37"/>
  <c r="A37" i="37"/>
  <c r="A38" i="37"/>
  <c r="A39" i="37"/>
  <c r="A40" i="37"/>
  <c r="A41" i="37"/>
  <c r="A42" i="37"/>
  <c r="A48" i="37"/>
  <c r="A49" i="37"/>
  <c r="A50" i="37"/>
  <c r="H48" i="35"/>
  <c r="J48" i="35"/>
  <c r="H49" i="35"/>
  <c r="J49" i="35"/>
  <c r="J98" i="35"/>
  <c r="H100" i="35"/>
  <c r="J100" i="35"/>
  <c r="D56" i="37"/>
  <c r="A51" i="37"/>
  <c r="A52" i="37"/>
  <c r="A53" i="37"/>
  <c r="A54" i="37"/>
  <c r="A55" i="37"/>
  <c r="A56" i="37"/>
  <c r="A57" i="37"/>
  <c r="A58" i="37"/>
  <c r="A59" i="37"/>
  <c r="A60" i="37"/>
  <c r="A61" i="37"/>
  <c r="D42" i="37"/>
  <c r="J101" i="35"/>
  <c r="H50" i="35"/>
  <c r="J50" i="35"/>
  <c r="J51" i="35"/>
  <c r="J62" i="35"/>
  <c r="J112" i="35"/>
  <c r="J110" i="35"/>
  <c r="J115" i="35"/>
  <c r="A62" i="37"/>
  <c r="A63" i="37"/>
  <c r="A64" i="37"/>
  <c r="A65" i="37"/>
  <c r="D22" i="41"/>
  <c r="J119" i="35"/>
  <c r="M52" i="31"/>
  <c r="M54" i="31"/>
  <c r="D65" i="37"/>
  <c r="D25" i="41"/>
  <c r="E42" i="41"/>
  <c r="F15" i="41"/>
  <c r="G15" i="41"/>
  <c r="G14" i="41"/>
  <c r="H14" i="41"/>
  <c r="E24" i="41"/>
  <c r="F24" i="41"/>
  <c r="H24" i="41"/>
  <c r="G12" i="41"/>
  <c r="H12" i="41"/>
  <c r="G13" i="41"/>
  <c r="H13" i="41"/>
  <c r="E23" i="41"/>
  <c r="F23" i="41"/>
  <c r="H23" i="41"/>
  <c r="H15" i="41"/>
  <c r="E22" i="41"/>
  <c r="F22" i="41"/>
  <c r="E25" i="41"/>
  <c r="E43" i="41"/>
  <c r="F25" i="41"/>
  <c r="E44" i="41"/>
  <c r="E46" i="41"/>
  <c r="H22" i="41"/>
  <c r="H25" i="41"/>
  <c r="F28" i="41"/>
  <c r="F29" i="41"/>
  <c r="F30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3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<sst xmlns="http://schemas.openxmlformats.org/spreadsheetml/2006/main" count="837" uniqueCount="466">
  <si>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</si>
  <si>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</si>
  <si>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</si>
  <si>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</si>
  <si>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</si>
  <si>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</si>
  <si>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</si>
  <si>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</si>
  <si>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</si>
  <si>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</si>
  <si>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</si>
  <si>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</si>
  <si>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</si>
  <si>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</si>
  <si>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</si>
  <si>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</si>
  <si>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</si>
  <si>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</si>
  <si>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</si>
  <si>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</si>
  <si>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</si>
  <si>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</si>
  <si>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</si>
  <si>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</si>
  <si>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</si>
  <si>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</si>
  <si>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</si>
  <si>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</si>
  <si>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</si>
  <si>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</si>
  <si>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</si>
  <si>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</si>
  <si>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</si>
  <si>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</si>
  <si>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</si>
  <si>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</si>
  <si>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</si>
  <si>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</si>
  <si>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</si>
  <si>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</si>
  <si>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</si>
  <si>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</si>
  <si>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</si>
  <si>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</si>
  <si>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</si>
  <si>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</si>
  <si>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</si>
  <si>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</si>
  <si>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</si>
  <si>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</si>
  <si>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</si>
  <si>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</si>
  <si>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</si>
  <si>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</si>
  <si>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</si>
  <si>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</si>
  <si>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</si>
  <si>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</si>
  <si>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</si>
  <si>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</si>
  <si>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</si>
  <si>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</si>
  <si>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</si>
  <si>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</si>
  <si>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</si>
  <si>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</si>
  <si>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</si>
  <si>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</si>
  <si>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</si>
  <si>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</si>
  <si>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</si>
  <si>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</si>
  <si>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</si>
  <si>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</si>
  <si>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</si>
  <si>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</si>
  <si>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</si>
  <si>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</si>
  <si>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</si>
  <si>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</si>
  <si>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</si>
  <si>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</si>
  <si>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</si>
  <si>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</si>
  <si>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</si>
  <si>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</si>
  <si>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</si>
  <si>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</si>
  <si>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</si>
  <si>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</si>
  <si>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</si>
  <si>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</si>
  <si>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</si>
  <si>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</si>
  <si>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</si>
  <si>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</si>
  <si>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</si>
  <si>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</si>
  <si>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</si>
  <si>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</si>
  <si>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</si>
  <si>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</si>
  <si>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</si>
  <si>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</si>
  <si>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</si>
  <si>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</si>
  <si>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</si>
  <si>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</si>
  <si>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</si>
  <si>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</si>
  <si>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</si>
  <si>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</si>
  <si>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</si>
  <si>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</si>
  <si>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</si>
  <si>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</si>
  <si>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</si>
  <si>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</si>
  <si>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</si>
  <si>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</si>
  <si>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</si>
  <si>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</si>
  <si>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</si>
  <si>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</si>
  <si>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</si>
  <si>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</si>
  <si>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</si>
  <si>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</si>
  <si>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</si>
  <si>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</si>
  <si>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</si>
  <si>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</si>
  <si>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</si>
  <si>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</si>
  <si>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</si>
  <si>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</si>
  <si>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</si>
  <si>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</si>
  <si>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</si>
  <si>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</si>
  <si>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</si>
  <si>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</si>
  <si>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</si>
  <si>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</si>
  <si>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</si>
  <si>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</si>
  <si>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</si>
  <si>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</si>
  <si>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</si>
  <si>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</si>
  <si>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</si>
  <si>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</si>
  <si>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</si>
  <si>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</si>
  <si>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</si>
  <si>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</si>
  <si>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</si>
  <si>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</si>
  <si>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</si>
  <si>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</si>
  <si>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</si>
  <si>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</si>
  <si>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</si>
  <si>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</si>
  <si>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</si>
  <si>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</si>
  <si>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</si>
  <si>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</si>
  <si>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</si>
  <si>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</si>
  <si>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</si>
  <si>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</si>
  <si>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</si>
  <si>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</si>
  <si>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</si>
  <si>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</si>
  <si>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</si>
  <si>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</si>
  <si>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</si>
  <si>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</si>
  <si>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</si>
  <si>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</si>
  <si>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</si>
  <si>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</si>
  <si>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</si>
  <si>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</si>
  <si>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</si>
  <si>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</si>
  <si>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</si>
  <si>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</si>
  <si>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</si>
  <si>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</si>
  <si>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</si>
  <si>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</si>
  <si>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</si>
  <si>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</si>
  <si>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</si>
  <si>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</si>
  <si>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</si>
  <si>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</si>
  <si>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</si>
  <si>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</si>
  <si>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</si>
  <si>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</si>
  <si>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</si>
  <si>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</si>
  <si>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</si>
  <si>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</si>
  <si>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</si>
  <si>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</si>
  <si>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</si>
  <si>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</si>
  <si>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</si>
  <si>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</si>
  <si>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</si>
  <si>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</si>
  <si>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</si>
  <si>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</si>
  <si>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</si>
  <si>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</si>
  <si>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</si>
  <si>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</si>
  <si>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</si>
  <si>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</si>
  <si>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</si>
  <si>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</si>
  <si>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</si>
  <si>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</si>
  <si>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</si>
  <si>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</si>
  <si>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</si>
  <si>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</si>
  <si>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</si>
  <si>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</si>
  <si>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</si>
  <si>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</si>
  <si>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</si>
  <si>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</si>
  <si>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</si>
  <si>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</si>
  <si>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</si>
  <si>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</si>
  <si>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</si>
  <si>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</si>
  <si>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</si>
  <si>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</si>
  <si>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</si>
  <si>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</si>
  <si>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</si>
  <si>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</si>
  <si>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</si>
  <si>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</si>
  <si>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</si>
  <si>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</si>
  <si>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</si>
  <si>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</si>
  <si>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</si>
  <si>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</si>
  <si>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</si>
  <si>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</si>
  <si>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</si>
  <si>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</si>
  <si>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</si>
  <si>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</si>
  <si>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</si>
  <si>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</si>
  <si>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</si>
  <si>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</si>
  <si>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</si>
  <si>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</si>
  <si>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</si>
  <si>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</si>
  <si>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</si>
  <si>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</si>
  <si>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</si>
  <si>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</si>
  <si>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</si>
  <si>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</si>
  <si>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</si>
  <si>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</si>
  <si>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</si>
  <si>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</si>
  <si>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</si>
  <si>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</si>
  <si>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</si>
  <si>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</si>
  <si>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</si>
  <si>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</si>
  <si>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</si>
  <si>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</si>
  <si>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</si>
  <si>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</si>
  <si>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</si>
  <si>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</si>
  <si>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</si>
  <si>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</si>
  <si>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</si>
  <si>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</si>
  <si>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</si>
  <si>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</si>
  <si>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</si>
  <si>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</si>
  <si>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</si>
  <si>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</si>
  <si>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</si>
  <si>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</si>
  <si>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</si>
  <si>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</si>
  <si>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</si>
  <si>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</si>
  <si>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</si>
  <si>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</si>
  <si>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</si>
  <si>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</si>
  <si>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</si>
  <si>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</si>
  <si>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</si>
  <si>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</si>
  <si>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</si>
  <si>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</si>
  <si>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</si>
  <si>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</si>
  <si>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</si>
  <si>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</si>
  <si>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</si>
  <si>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</si>
  <si>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</si>
  <si>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</si>
  <si>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</si>
  <si>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</si>
  <si>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</si>
  <si>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</si>
  <si>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</si>
  <si>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</si>
  <si>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</si>
  <si>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</si>
  <si>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</si>
  <si>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</si>
  <si>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</si>
  <si>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</si>
  <si>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</si>
  <si>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</si>
  <si>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</si>
  <si>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</si>
  <si>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</si>
  <si>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</si>
  <si>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</si>
  <si>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</si>
  <si>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</si>
  <si>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</si>
  <si>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</si>
  <si>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</si>
  <si>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</si>
  <si>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</si>
  <si>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</si>
  <si>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</si>
  <si>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</si>
  <si>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</si>
  <si>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</si>
  <si>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</si>
  <si>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</si>
  <si>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</si>
  <si>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</si>
  <si>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</si>
  <si>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</si>
  <si>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</si>
  <si>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</si>
  <si>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</si>
  <si>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</si>
  <si>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</si>
  <si>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</si>
  <si>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</si>
  <si>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</si>
  <si>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</si>
  <si>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</si>
  <si>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</si>
  <si>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</si>
  <si>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</si>
  <si>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</si>
  <si>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</si>
  <si>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</si>
  <si>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</si>
  <si>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</si>
  <si>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</si>
  <si>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</si>
  <si>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</si>
  <si>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</si>
  <si>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</si>
  <si>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</si>
  <si>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</si>
  <si>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</si>
  <si>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</si>
  <si>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</si>
  <si>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</si>
  <si>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</si>
  <si>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</si>
  <si>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</si>
  <si>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</si>
  <si>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</si>
  <si>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</si>
  <si>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</si>
  <si>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</si>
  <si>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</si>
  <si>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</si>
  <si>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</si>
  <si>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</si>
  <si>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</si>
  <si>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</si>
  <si>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</si>
  <si>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</si>
  <si>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</si>
  <si>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</si>
  <si>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</si>
  <si>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</si>
  <si>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</si>
  <si>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</si>
  <si>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</si>
  <si>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</si>
  <si>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</si>
  <si>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</si>
  <si>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</si>
  <si>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</si>
  <si>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</si>
  <si>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</si>
  <si>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</si>
  <si>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</si>
  <si>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</si>
  <si>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</si>
  <si>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</si>
  <si>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</si>
  <si>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</si>
  <si>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</si>
  <si>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</si>
  <si>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</si>
  <si>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</si>
  <si>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</si>
  <si>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</si>
  <si>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</si>
  <si>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</si>
  <si>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</si>
  <si>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</si>
  <si>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</si>
  <si>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</si>
  <si>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</si>
  <si>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</si>
  <si>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</si>
  <si>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</si>
  <si>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</si>
  <si>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</si>
  <si>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From PP Less RWIP</t>
  </si>
  <si>
    <t>HP Removal</t>
  </si>
  <si>
    <t>Adjust Accum to FERC Accum</t>
  </si>
  <si>
    <t>Total RWIP to Adjust</t>
  </si>
  <si>
    <t>RWIP</t>
  </si>
  <si>
    <t>Accrued Retirements</t>
  </si>
  <si>
    <t>207.96.g - line 6</t>
  </si>
  <si>
    <t>Effective August 1, 2022</t>
  </si>
  <si>
    <t>(See Workpaper 7 2021 Actual Load Data)</t>
  </si>
  <si>
    <t>Date: May 31, 2023</t>
  </si>
  <si>
    <r>
      <t>2022 Actual Load Data</t>
    </r>
    <r>
      <rPr>
        <b/>
        <vertAlign val="superscript"/>
        <sz val="12"/>
        <rFont val="Arial"/>
        <family val="2"/>
      </rPr>
      <t>1</t>
    </r>
  </si>
  <si>
    <r>
      <t>2023 Projected Load Data</t>
    </r>
    <r>
      <rPr>
        <b/>
        <vertAlign val="superscript"/>
        <sz val="12"/>
        <rFont val="Arial"/>
        <family val="2"/>
      </rPr>
      <t>2</t>
    </r>
  </si>
  <si>
    <t>12/31/21 &amp; 12/31/22 average balance</t>
  </si>
  <si>
    <t>Actual 2022 Load</t>
  </si>
  <si>
    <t>O&amp;M - Acct 561 (2021)</t>
  </si>
  <si>
    <t>Actual Expenses (2022)</t>
  </si>
  <si>
    <t>TRUE UP OF RATES FOR CALENDAR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</si>
</sst>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</numFmts>
  <fonts count="95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0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2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2" fillId="0" borderId="0"/>
    <xf numFmtId="0" fontId="64" fillId="0" borderId="0"/>
    <xf numFmtId="0" fontId="6" fillId="0" borderId="0"/>
    <xf numFmtId="0" fontId="89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34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173" fontId="6" fillId="0" borderId="0" xfId="171" applyNumberFormat="1" applyFont="1" applyFill="1"/>
    <xf numFmtId="17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3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" fontId="6" fillId="0" borderId="25" xfId="169" applyNumberFormat="1" applyFill="1" applyBorder="1" applyAlignment="1">
      <alignment horizontal="center"/>
    </xf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44" fontId="10" fillId="0" borderId="0" xfId="112" applyFont="1" applyFill="1"/>
    <xf numFmtId="173" fontId="3" fillId="0" borderId="4" xfId="105" applyNumberFormat="1" applyFont="1" applyFill="1" applyBorder="1" applyAlignment="1"/>
    <xf numFmtId="3" fontId="3" fillId="30" borderId="0" xfId="0" applyNumberFormat="1" applyFont="1" applyFill="1" applyAlignment="1"/>
    <xf numFmtId="3" fontId="3" fillId="30" borderId="0" xfId="163" applyNumberFormat="1" applyFont="1" applyFill="1" applyAlignment="1"/>
    <xf numFmtId="3" fontId="3" fillId="30" borderId="6" xfId="0" applyNumberFormat="1" applyFont="1" applyFill="1" applyBorder="1" applyAlignment="1"/>
    <xf numFmtId="3" fontId="3" fillId="30" borderId="3" xfId="0" applyNumberFormat="1" applyFont="1" applyFill="1" applyBorder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1" fontId="6" fillId="0" borderId="0" xfId="169" applyNumberFormat="1" applyFill="1"/>
    <xf numFmtId="0" fontId="3" fillId="0" borderId="0" xfId="0" applyNumberFormat="1" applyFont="1"/>
    <xf numFmtId="172" fontId="0" fillId="0" borderId="0" xfId="0"/>
    <xf numFmtId="0" fontId="3" fillId="0" borderId="0" xfId="0" applyNumberFormat="1" applyFont="1" applyProtection="1">
      <protection locked="0"/>
    </xf>
    <xf numFmtId="182" fontId="6" fillId="0" borderId="0" xfId="180" applyNumberFormat="1" applyFont="1" applyFill="1" applyAlignment="1"/>
    <xf numFmtId="172" fontId="0" fillId="0" borderId="26" xfId="0" applyFill="1" applyBorder="1" applyAlignment="1"/>
    <xf numFmtId="0" fontId="3" fillId="0" borderId="6" xfId="0" applyNumberFormat="1" applyFont="1" applyBorder="1"/>
    <xf numFmtId="172" fontId="0" fillId="0" borderId="6" xfId="0" applyBorder="1"/>
    <xf numFmtId="172" fontId="1" fillId="0" borderId="27" xfId="0" applyFont="1" applyFill="1" applyBorder="1" applyAlignment="1"/>
    <xf numFmtId="172" fontId="0" fillId="0" borderId="28" xfId="0" applyFill="1" applyBorder="1" applyAlignment="1"/>
    <xf numFmtId="0" fontId="3" fillId="0" borderId="0" xfId="0" applyNumberFormat="1" applyFont="1" applyBorder="1"/>
    <xf numFmtId="172" fontId="0" fillId="0" borderId="0" xfId="0" applyBorder="1"/>
    <xf numFmtId="172" fontId="1" fillId="0" borderId="29" xfId="0" applyFont="1" applyFill="1" applyBorder="1" applyAlignment="1"/>
    <xf numFmtId="0" fontId="3" fillId="0" borderId="0" xfId="0" applyNumberFormat="1" applyFont="1" applyBorder="1" applyProtection="1">
      <protection locked="0"/>
    </xf>
    <xf numFmtId="172" fontId="0" fillId="0" borderId="29" xfId="0" applyBorder="1"/>
    <xf numFmtId="172" fontId="0" fillId="0" borderId="30" xfId="0" applyFill="1" applyBorder="1" applyAlignment="1"/>
    <xf numFmtId="172" fontId="0" fillId="0" borderId="4" xfId="0" applyFill="1" applyBorder="1" applyAlignment="1"/>
    <xf numFmtId="172" fontId="0" fillId="0" borderId="31" xfId="0" applyFill="1" applyBorder="1" applyAlignment="1"/>
    <xf numFmtId="43" fontId="0" fillId="0" borderId="29" xfId="105" applyFont="1" applyFill="1" applyBorder="1" applyAlignment="1"/>
    <xf numFmtId="172" fontId="0" fillId="0" borderId="4" xfId="0" applyBorder="1"/>
    <xf numFmtId="172" fontId="1" fillId="0" borderId="31" xfId="0" applyFont="1" applyFill="1" applyBorder="1" applyAlignment="1"/>
    <xf numFmtId="0" fontId="3" fillId="0" borderId="4" xfId="0" applyNumberFormat="1" applyFont="1" applyBorder="1"/>
    <xf numFmtId="43" fontId="0" fillId="0" borderId="0" xfId="105" applyFont="1" applyFill="1" applyBorder="1"/>
    <xf numFmtId="43" fontId="0" fillId="0" borderId="6" xfId="105" applyFont="1" applyFill="1" applyBorder="1"/>
    <xf numFmtId="42" fontId="6" fillId="0" borderId="0" xfId="171" applyNumberFormat="1" applyFill="1"/>
    <xf numFmtId="42" fontId="6" fillId="0" borderId="3" xfId="171" applyNumberFormat="1" applyFill="1" applyBorder="1"/>
    <xf numFmtId="43" fontId="0" fillId="0" borderId="0" xfId="105" applyFont="1"/>
    <xf numFmtId="173" fontId="0" fillId="0" borderId="0" xfId="105" applyNumberFormat="1" applyFont="1" applyFill="1" applyBorder="1"/>
    <xf numFmtId="43" fontId="0" fillId="0" borderId="0" xfId="105" applyFont="1" applyFill="1"/>
    <xf numFmtId="172" fontId="0" fillId="0" borderId="0" xfId="0" applyFill="1" applyBorder="1"/>
    <xf numFmtId="173" fontId="1" fillId="0" borderId="0" xfId="105" applyNumberFormat="1" applyFont="1" applyFill="1" applyBorder="1"/>
    <xf numFmtId="172" fontId="0" fillId="0" borderId="0" xfId="0" applyFill="1"/>
    <xf numFmtId="43" fontId="6" fillId="0" borderId="0" xfId="171" applyNumberFormat="1"/>
    <xf numFmtId="43" fontId="6" fillId="0" borderId="3" xfId="171" applyNumberFormat="1" applyBorder="1"/>
    <xf numFmtId="0" fontId="3" fillId="0" borderId="0" xfId="172" applyFont="1" applyFill="1" applyAlignment="1">
      <alignment horizontal="left"/>
    </xf>
    <xf numFmtId="172" fontId="0" fillId="0" borderId="6" xfId="0" applyFill="1" applyBorder="1"/>
    <xf numFmtId="43" fontId="1" fillId="0" borderId="0" xfId="105" applyFont="1" applyFill="1"/>
    <xf numFmtId="174" fontId="94" fillId="0" borderId="4" xfId="114" applyNumberFormat="1" applyFont="1" applyFill="1" applyBorder="1"/>
    <xf numFmtId="172" fontId="0" fillId="0" borderId="4" xfId="0" applyFill="1" applyBorder="1"/>
    <xf numFmtId="173" fontId="0" fillId="0" borderId="4" xfId="0" applyNumberFormat="1" applyFill="1" applyBorder="1"/>
    <xf numFmtId="43" fontId="1" fillId="0" borderId="0" xfId="105" applyFont="1" applyFill="1" applyBorder="1"/>
    <xf numFmtId="1" fontId="6" fillId="0" borderId="19" xfId="169" applyNumberFormat="1" applyFill="1" applyBorder="1" applyAlignment="1">
      <alignment horizontal="center"/>
    </xf>
    <xf numFmtId="0" fontId="6" fillId="0" borderId="38" xfId="169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0" fontId="6" fillId="0" borderId="39" xfId="169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40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5" fillId="0" borderId="41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5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14" xfId="182"/>
    <cellStyle name="Percent 2" xfId="183"/>
    <cellStyle name="PSChar" xfId="184"/>
    <cellStyle name="PSDate" xfId="185"/>
    <cellStyle name="PSDec" xfId="186"/>
    <cellStyle name="PSHeading" xfId="187"/>
    <cellStyle name="PSInt" xfId="188"/>
    <cellStyle name="PSSpacer" xfId="189"/>
    <cellStyle name="R00A" xfId="190"/>
    <cellStyle name="R00B" xfId="191"/>
    <cellStyle name="R00L" xfId="192"/>
    <cellStyle name="R01A" xfId="193"/>
    <cellStyle name="R01B" xfId="194"/>
    <cellStyle name="R01H" xfId="195"/>
    <cellStyle name="R01L" xfId="196"/>
    <cellStyle name="R02A" xfId="197"/>
    <cellStyle name="R02B" xfId="198"/>
    <cellStyle name="R02H" xfId="199"/>
    <cellStyle name="R02L" xfId="200"/>
    <cellStyle name="R03A" xfId="201"/>
    <cellStyle name="R03B" xfId="202"/>
    <cellStyle name="R03H" xfId="203"/>
    <cellStyle name="R03L" xfId="204"/>
    <cellStyle name="R04A" xfId="205"/>
    <cellStyle name="R04B" xfId="206"/>
    <cellStyle name="R04H" xfId="207"/>
    <cellStyle name="R04L" xfId="208"/>
    <cellStyle name="R05A" xfId="209"/>
    <cellStyle name="R05B" xfId="210"/>
    <cellStyle name="R05H" xfId="211"/>
    <cellStyle name="R05L" xfId="212"/>
    <cellStyle name="R06A" xfId="213"/>
    <cellStyle name="R06B" xfId="214"/>
    <cellStyle name="R06H" xfId="215"/>
    <cellStyle name="R06L" xfId="216"/>
    <cellStyle name="R07A" xfId="217"/>
    <cellStyle name="R07B" xfId="218"/>
    <cellStyle name="R07H" xfId="219"/>
    <cellStyle name="R07L" xfId="220"/>
    <cellStyle name="Resource Detail" xfId="221"/>
    <cellStyle name="Shade" xfId="222"/>
    <cellStyle name="single acct" xfId="223"/>
    <cellStyle name="Single Border" xfId="224"/>
    <cellStyle name="Small Page Heading" xfId="225"/>
    <cellStyle name="ssn" xfId="226"/>
    <cellStyle name="Style 1" xfId="227"/>
    <cellStyle name="Style 2" xfId="228"/>
    <cellStyle name="Style 27" xfId="229"/>
    <cellStyle name="Style 28" xfId="230"/>
    <cellStyle name="Table Sub Heading" xfId="231"/>
    <cellStyle name="Table Title" xfId="232"/>
    <cellStyle name="Table Units" xfId="233"/>
    <cellStyle name="Theirs" xfId="234"/>
    <cellStyle name="Times New Roman" xfId="235"/>
    <cellStyle name="Title" xfId="236" builtinId="15" customBuiltin="1"/>
    <cellStyle name="Title 2" xfId="237"/>
    <cellStyle name="Total" xfId="238" builtinId="25" customBuiltin="1"/>
    <cellStyle name="Total 2" xfId="239"/>
    <cellStyle name="Unprot" xfId="240"/>
    <cellStyle name="Unprot$" xfId="241"/>
    <cellStyle name="Unprotect" xfId="242"/>
    <cellStyle name="Warning Text" xfId="243" builtinId="11" customBuiltin="1"/>
    <cellStyle name="Warning Text 2" xfId="2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46"/>
  <sheetViews>
    <sheetView tabSelected="1" zoomScaleNormal="100" workbookViewId="0">
      <selection activeCell="L28" sqref="L28"/>
    </sheetView>
  </sheetViews>
  <sheetFormatPr defaultColWidth="7.109375" defaultRowHeight="12.75"/>
  <cols>
    <col min="1" max="1" width="3.88671875" style="93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88671875" style="8" bestFit="1" customWidth="1"/>
    <col min="8" max="8" width="9.5546875" style="8" bestFit="1" customWidth="1"/>
    <col min="9" max="9" width="7.109375" style="8" customWidth="1"/>
    <col min="10" max="10" width="8.886718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94" t="s">
        <v>458</v>
      </c>
    </row>
    <row r="2" spans="1:11">
      <c r="G2" s="7"/>
    </row>
    <row r="3" spans="1:11" ht="15" customHeight="1">
      <c r="A3" s="323" t="s">
        <v>360</v>
      </c>
      <c r="B3" s="323"/>
      <c r="C3" s="323"/>
      <c r="D3" s="323"/>
      <c r="E3" s="323"/>
      <c r="F3" s="323"/>
      <c r="G3" s="323"/>
      <c r="H3" s="323"/>
    </row>
    <row r="4" spans="1:11" ht="15" customHeight="1">
      <c r="A4" s="323" t="s">
        <v>77</v>
      </c>
      <c r="B4" s="323"/>
      <c r="C4" s="323"/>
      <c r="D4" s="323"/>
      <c r="E4" s="323"/>
      <c r="F4" s="323"/>
      <c r="G4" s="323"/>
      <c r="H4" s="323"/>
    </row>
    <row r="6" spans="1:11">
      <c r="A6" s="84" t="s">
        <v>70</v>
      </c>
    </row>
    <row r="8" spans="1:11">
      <c r="A8" s="93">
        <v>1</v>
      </c>
      <c r="B8" s="7" t="s">
        <v>114</v>
      </c>
      <c r="D8" s="7"/>
      <c r="G8" s="7"/>
      <c r="H8" s="96">
        <v>877241</v>
      </c>
      <c r="I8" s="7"/>
    </row>
    <row r="9" spans="1:11">
      <c r="G9" s="7"/>
      <c r="H9" s="7"/>
    </row>
    <row r="10" spans="1:11" ht="39" thickBot="1">
      <c r="D10" s="97" t="str">
        <f>+B20</f>
        <v>Entity</v>
      </c>
      <c r="E10" s="98"/>
      <c r="F10" s="64" t="s">
        <v>164</v>
      </c>
      <c r="G10" s="99" t="s">
        <v>254</v>
      </c>
      <c r="H10" s="64" t="s">
        <v>362</v>
      </c>
    </row>
    <row r="11" spans="1:11">
      <c r="D11" s="93"/>
      <c r="F11" s="100"/>
      <c r="G11" s="101"/>
      <c r="H11" s="102"/>
    </row>
    <row r="12" spans="1:11">
      <c r="A12" s="93">
        <v>2</v>
      </c>
      <c r="D12" s="8" t="s">
        <v>363</v>
      </c>
      <c r="F12" s="103">
        <f>+L22</f>
        <v>29.61375721851439</v>
      </c>
      <c r="G12" s="104">
        <f>+F12/F$15</f>
        <v>0.61614436493115532</v>
      </c>
      <c r="H12" s="96">
        <f>+H$8*G12</f>
        <v>540507.09883657168</v>
      </c>
      <c r="J12" s="105"/>
      <c r="K12" s="106"/>
    </row>
    <row r="13" spans="1:11">
      <c r="A13" s="93">
        <v>3</v>
      </c>
      <c r="D13" s="8" t="s">
        <v>364</v>
      </c>
      <c r="F13" s="107">
        <f>+L23</f>
        <v>16.34363670281142</v>
      </c>
      <c r="G13" s="104">
        <f>+F13/F$15</f>
        <v>0.34004599897994436</v>
      </c>
      <c r="H13" s="96">
        <f>+H$8*G13</f>
        <v>298302.29219116538</v>
      </c>
      <c r="J13" s="108"/>
      <c r="K13" s="106"/>
    </row>
    <row r="14" spans="1:11" ht="13.5" thickBot="1">
      <c r="A14" s="93">
        <v>4</v>
      </c>
      <c r="D14" s="109" t="s">
        <v>365</v>
      </c>
      <c r="E14" s="109"/>
      <c r="F14" s="110">
        <f>+L24</f>
        <v>2.105623293516806</v>
      </c>
      <c r="G14" s="111">
        <f>+F14/F$15</f>
        <v>4.380963608890031E-2</v>
      </c>
      <c r="H14" s="112">
        <f>+H$8*G14</f>
        <v>38431.608972262999</v>
      </c>
      <c r="J14" s="108"/>
      <c r="K14" s="106"/>
    </row>
    <row r="15" spans="1:11">
      <c r="A15" s="93">
        <v>5</v>
      </c>
      <c r="D15" s="8" t="s">
        <v>198</v>
      </c>
      <c r="F15" s="107">
        <f>SUM(F12:F14)</f>
        <v>48.063017214842617</v>
      </c>
      <c r="G15" s="113">
        <f>+F15/F$15</f>
        <v>1</v>
      </c>
      <c r="H15" s="114">
        <f>SUM(H12:H14)</f>
        <v>877241</v>
      </c>
      <c r="J15" s="105"/>
    </row>
    <row r="16" spans="1:11">
      <c r="G16" s="7"/>
      <c r="H16" s="7"/>
    </row>
    <row r="17" spans="1:18">
      <c r="G17" s="7"/>
      <c r="H17" s="7"/>
    </row>
    <row r="18" spans="1:18">
      <c r="A18" s="84" t="s">
        <v>366</v>
      </c>
      <c r="E18" s="84" t="s">
        <v>465</v>
      </c>
      <c r="G18" s="7"/>
      <c r="H18" s="7"/>
    </row>
    <row r="19" spans="1:18">
      <c r="G19" s="7"/>
      <c r="H19" s="7"/>
    </row>
    <row r="20" spans="1:18" ht="39" thickBot="1">
      <c r="B20" s="98" t="s">
        <v>367</v>
      </c>
      <c r="C20" s="98"/>
      <c r="D20" s="115" t="s">
        <v>165</v>
      </c>
      <c r="E20" s="115" t="s">
        <v>167</v>
      </c>
      <c r="F20" s="115" t="s">
        <v>368</v>
      </c>
      <c r="G20" s="64" t="s">
        <v>462</v>
      </c>
      <c r="H20" s="64" t="s">
        <v>309</v>
      </c>
    </row>
    <row r="21" spans="1:18">
      <c r="G21" s="7"/>
      <c r="H21" s="7"/>
      <c r="M21" s="116" t="s">
        <v>392</v>
      </c>
      <c r="N21" s="117"/>
      <c r="O21" s="117"/>
      <c r="P21" s="118"/>
    </row>
    <row r="22" spans="1:18">
      <c r="A22" s="93">
        <v>6</v>
      </c>
      <c r="B22" s="8" t="str">
        <f>+D12</f>
        <v>Black Hills</v>
      </c>
      <c r="D22" s="54">
        <f>'True-Up'!J115</f>
        <v>29866047.802785095</v>
      </c>
      <c r="E22" s="119">
        <f>-H12</f>
        <v>-540507.09883657168</v>
      </c>
      <c r="F22" s="119">
        <f>+E22+D22</f>
        <v>29325540.703948524</v>
      </c>
      <c r="G22" s="6">
        <f>+'WP7 CU AC LOADS'!J24*1000</f>
        <v>990250</v>
      </c>
      <c r="H22" s="305">
        <f>+F22/G22</f>
        <v>29.614279933298182</v>
      </c>
      <c r="J22" s="120" t="s">
        <v>119</v>
      </c>
      <c r="L22" s="85">
        <v>29.61375721851439</v>
      </c>
      <c r="M22" s="121" t="s">
        <v>393</v>
      </c>
      <c r="N22" s="122"/>
      <c r="O22" s="122"/>
      <c r="P22" s="123"/>
      <c r="R22" s="128"/>
    </row>
    <row r="23" spans="1:18">
      <c r="A23" s="93">
        <v>7</v>
      </c>
      <c r="B23" s="8" t="str">
        <f>+D13</f>
        <v>Basin Electric</v>
      </c>
      <c r="D23" s="297">
        <v>16482130</v>
      </c>
      <c r="E23" s="119">
        <f>-H13</f>
        <v>-298302.29219116538</v>
      </c>
      <c r="F23" s="119">
        <f>+E23+D23</f>
        <v>16183827.707808835</v>
      </c>
      <c r="G23" s="65">
        <f>+G22</f>
        <v>990250</v>
      </c>
      <c r="H23" s="305">
        <f>+F23/G23</f>
        <v>16.343173650905161</v>
      </c>
      <c r="J23" s="120" t="s">
        <v>119</v>
      </c>
      <c r="L23" s="85">
        <v>16.34363670281142</v>
      </c>
      <c r="M23" s="121" t="s">
        <v>394</v>
      </c>
      <c r="N23" s="122"/>
      <c r="O23" s="122"/>
      <c r="P23" s="123"/>
      <c r="R23" s="128"/>
    </row>
    <row r="24" spans="1:18" ht="13.5" thickBot="1">
      <c r="A24" s="93">
        <v>8</v>
      </c>
      <c r="B24" s="98" t="str">
        <f>+D14</f>
        <v>PRECorp</v>
      </c>
      <c r="C24" s="98"/>
      <c r="D24" s="298">
        <v>2123466</v>
      </c>
      <c r="E24" s="124">
        <f>-H14</f>
        <v>-38431.608972262999</v>
      </c>
      <c r="F24" s="124">
        <f>+E24+D24</f>
        <v>2085034.3910277369</v>
      </c>
      <c r="G24" s="66">
        <f>+G23</f>
        <v>990250</v>
      </c>
      <c r="H24" s="306">
        <f>+F24/G24</f>
        <v>2.1055636364834505</v>
      </c>
      <c r="J24" s="120" t="s">
        <v>119</v>
      </c>
      <c r="L24" s="85">
        <v>2.105623293516806</v>
      </c>
      <c r="M24" s="125" t="s">
        <v>395</v>
      </c>
      <c r="N24" s="126"/>
      <c r="O24" s="126"/>
      <c r="P24" s="127"/>
      <c r="R24" s="128"/>
    </row>
    <row r="25" spans="1:18">
      <c r="A25" s="93">
        <v>9</v>
      </c>
      <c r="B25" s="8" t="s">
        <v>198</v>
      </c>
      <c r="D25" s="119">
        <f>SUM(D22:D24)</f>
        <v>48471643.802785099</v>
      </c>
      <c r="E25" s="119">
        <f>SUM(E22:E24)</f>
        <v>-877241</v>
      </c>
      <c r="F25" s="119">
        <f>SUM(F22:F24)</f>
        <v>47594402.802785091</v>
      </c>
      <c r="H25" s="128">
        <f>SUM(H22:H24)</f>
        <v>48.063017220686795</v>
      </c>
    </row>
    <row r="26" spans="1:18">
      <c r="F26" s="119"/>
      <c r="G26" s="129"/>
      <c r="H26" s="128"/>
    </row>
    <row r="27" spans="1:18">
      <c r="A27" s="84" t="s">
        <v>369</v>
      </c>
    </row>
    <row r="28" spans="1:18">
      <c r="A28" s="93">
        <v>10</v>
      </c>
      <c r="D28" s="8" t="s">
        <v>370</v>
      </c>
      <c r="F28" s="130">
        <f>+H25</f>
        <v>48.063017220686795</v>
      </c>
      <c r="G28" s="131" t="s">
        <v>371</v>
      </c>
    </row>
    <row r="29" spans="1:18">
      <c r="A29" s="93">
        <f t="shared" ref="A29:A34" si="0">+A28+1</f>
        <v>11</v>
      </c>
      <c r="D29" s="8" t="s">
        <v>372</v>
      </c>
      <c r="F29" s="103">
        <f>ROUND(F28/12,2)</f>
        <v>4.01</v>
      </c>
      <c r="G29" s="131" t="s">
        <v>373</v>
      </c>
    </row>
    <row r="30" spans="1:18">
      <c r="A30" s="93">
        <f t="shared" si="0"/>
        <v>12</v>
      </c>
      <c r="D30" s="8" t="s">
        <v>374</v>
      </c>
      <c r="F30" s="103">
        <f>ROUND(F28/52,2)</f>
        <v>0.92</v>
      </c>
      <c r="G30" s="131" t="s">
        <v>375</v>
      </c>
    </row>
    <row r="31" spans="1:18">
      <c r="A31" s="93">
        <f t="shared" si="0"/>
        <v>13</v>
      </c>
      <c r="D31" s="8" t="s">
        <v>376</v>
      </c>
      <c r="E31" s="8" t="s">
        <v>377</v>
      </c>
      <c r="F31" s="132">
        <f>+F30/6</f>
        <v>0.15333333333333335</v>
      </c>
      <c r="G31" s="131" t="s">
        <v>378</v>
      </c>
    </row>
    <row r="32" spans="1:18">
      <c r="A32" s="93">
        <f t="shared" si="0"/>
        <v>14</v>
      </c>
      <c r="D32" s="8" t="s">
        <v>379</v>
      </c>
      <c r="E32" s="8" t="s">
        <v>380</v>
      </c>
      <c r="F32" s="132">
        <f>+F30/7</f>
        <v>0.13142857142857142</v>
      </c>
      <c r="G32" s="131" t="s">
        <v>378</v>
      </c>
    </row>
    <row r="33" spans="1:7">
      <c r="A33" s="93">
        <f t="shared" si="0"/>
        <v>15</v>
      </c>
      <c r="D33" s="8" t="s">
        <v>381</v>
      </c>
      <c r="E33" s="8" t="s">
        <v>382</v>
      </c>
      <c r="F33" s="133">
        <f>+F31/16</f>
        <v>9.5833333333333343E-3</v>
      </c>
      <c r="G33" s="131" t="s">
        <v>383</v>
      </c>
    </row>
    <row r="34" spans="1:7">
      <c r="A34" s="93">
        <f t="shared" si="0"/>
        <v>16</v>
      </c>
      <c r="D34" s="8" t="s">
        <v>384</v>
      </c>
      <c r="E34" s="8" t="s">
        <v>385</v>
      </c>
      <c r="F34" s="133">
        <f>+F32/24</f>
        <v>5.4761904761904756E-3</v>
      </c>
      <c r="G34" s="131" t="s">
        <v>383</v>
      </c>
    </row>
    <row r="40" spans="1:7">
      <c r="A40" s="84" t="s">
        <v>386</v>
      </c>
    </row>
    <row r="42" spans="1:7">
      <c r="B42" s="8" t="str">
        <f>+D20</f>
        <v>Component Annual Revenue Requirements</v>
      </c>
      <c r="E42" s="119">
        <f>+D25</f>
        <v>48471643.802785099</v>
      </c>
    </row>
    <row r="43" spans="1:7">
      <c r="B43" s="7" t="s">
        <v>361</v>
      </c>
      <c r="E43" s="119">
        <f>+E25</f>
        <v>-877241</v>
      </c>
    </row>
    <row r="44" spans="1:7">
      <c r="B44" s="8" t="str">
        <f>+F20</f>
        <v>Net Revenue Requirements</v>
      </c>
      <c r="E44" s="119">
        <f>+F25</f>
        <v>47594402.802785091</v>
      </c>
    </row>
    <row r="45" spans="1:7">
      <c r="B45" s="8" t="str">
        <f>+G20</f>
        <v>Actual 2022 Load</v>
      </c>
      <c r="E45" s="129">
        <f>+G22</f>
        <v>990250</v>
      </c>
    </row>
    <row r="46" spans="1:7">
      <c r="B46" s="8" t="str">
        <f>+H20</f>
        <v>Annual Rate</v>
      </c>
      <c r="E46" s="130">
        <f>+E44/E45</f>
        <v>48.063017220686788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237"/>
  <sheetViews>
    <sheetView showGridLines="0" view="pageBreakPreview" zoomScale="85" zoomScaleNormal="90" zoomScaleSheetLayoutView="85" workbookViewId="0">
      <selection activeCell="F10" sqref="F10"/>
    </sheetView>
  </sheetViews>
  <sheetFormatPr defaultRowHeight="15"/>
  <cols>
    <col min="1" max="1" width="6" style="73" customWidth="1"/>
    <col min="2" max="2" width="1.44140625" style="73" customWidth="1"/>
    <col min="3" max="3" width="41.109375" style="73" customWidth="1"/>
    <col min="4" max="4" width="34.5546875" style="73" customWidth="1"/>
    <col min="5" max="5" width="15.109375" style="73" customWidth="1"/>
    <col min="6" max="6" width="7.88671875" style="73" customWidth="1"/>
    <col min="7" max="7" width="11.88671875" style="73" bestFit="1" customWidth="1"/>
    <col min="8" max="8" width="14" style="73" customWidth="1"/>
    <col min="9" max="9" width="4.88671875" style="73" customWidth="1"/>
    <col min="10" max="10" width="14.109375" style="73" customWidth="1"/>
    <col min="11" max="11" width="0.109375" style="73" customWidth="1"/>
    <col min="12" max="12" width="14.44140625" style="73" bestFit="1" customWidth="1"/>
    <col min="13" max="15" width="13.44140625" style="73" bestFit="1" customWidth="1"/>
    <col min="16" max="16384" width="8.88671875" style="73"/>
  </cols>
  <sheetData>
    <row r="1" spans="1:40">
      <c r="I1" s="195" t="s">
        <v>417</v>
      </c>
      <c r="J1" s="196">
        <v>45077</v>
      </c>
    </row>
    <row r="2" spans="1:40" ht="15.75">
      <c r="A2" s="3"/>
      <c r="B2" s="3"/>
      <c r="C2" s="3"/>
      <c r="D2" s="47"/>
      <c r="E2" s="3"/>
      <c r="F2" s="3"/>
      <c r="G2" s="3"/>
      <c r="I2" s="163" t="s">
        <v>166</v>
      </c>
      <c r="J2" s="72">
        <v>2022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</row>
    <row r="4" spans="1:40" ht="15" customHeight="1">
      <c r="A4" s="324" t="s">
        <v>321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</row>
    <row r="5" spans="1:40" ht="15.75">
      <c r="A5" s="325" t="s">
        <v>195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</row>
    <row r="6" spans="1:40">
      <c r="A6" s="3"/>
      <c r="B6" s="3"/>
      <c r="C6" s="72"/>
      <c r="D6" s="72"/>
      <c r="F6" s="72"/>
      <c r="G6" s="72"/>
      <c r="H6" s="72"/>
      <c r="I6" s="72"/>
      <c r="J6" s="72"/>
      <c r="K6" s="72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</row>
    <row r="7" spans="1:40" ht="15" customHeight="1">
      <c r="A7" s="326" t="s">
        <v>320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</row>
    <row r="8" spans="1:40">
      <c r="A8" s="9"/>
      <c r="B8" s="3"/>
      <c r="C8" s="72"/>
      <c r="D8" s="72"/>
      <c r="E8" s="167"/>
      <c r="F8" s="72"/>
      <c r="G8" s="72"/>
      <c r="H8" s="72"/>
      <c r="I8" s="72"/>
      <c r="J8" s="72"/>
      <c r="K8" s="72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</row>
    <row r="9" spans="1:40">
      <c r="A9" s="3"/>
      <c r="B9" s="3"/>
      <c r="C9" s="168" t="s">
        <v>201</v>
      </c>
      <c r="D9" s="168" t="s">
        <v>202</v>
      </c>
      <c r="E9" s="168" t="s">
        <v>203</v>
      </c>
      <c r="F9" s="1" t="s">
        <v>194</v>
      </c>
      <c r="G9" s="1"/>
      <c r="H9" s="198" t="s">
        <v>204</v>
      </c>
      <c r="I9" s="1"/>
      <c r="J9" s="199" t="s">
        <v>205</v>
      </c>
      <c r="K9" s="1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</row>
    <row r="10" spans="1:40" ht="15.75">
      <c r="A10" s="3"/>
      <c r="B10" s="3"/>
      <c r="C10" s="91"/>
      <c r="D10" s="166" t="s">
        <v>206</v>
      </c>
      <c r="E10" s="1"/>
      <c r="F10" s="1"/>
      <c r="G10" s="200" t="s">
        <v>93</v>
      </c>
      <c r="H10" s="9"/>
      <c r="I10" s="1"/>
      <c r="J10" s="165" t="s">
        <v>207</v>
      </c>
      <c r="K10" s="1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</row>
    <row r="11" spans="1:40" ht="15.75">
      <c r="A11" s="9" t="s">
        <v>196</v>
      </c>
      <c r="B11" s="3"/>
      <c r="C11" s="91"/>
      <c r="D11" s="169" t="s">
        <v>208</v>
      </c>
      <c r="E11" s="165" t="s">
        <v>209</v>
      </c>
      <c r="F11" s="170"/>
      <c r="G11" s="201" t="s">
        <v>83</v>
      </c>
      <c r="H11" s="202"/>
      <c r="I11" s="170"/>
      <c r="J11" s="9" t="s">
        <v>210</v>
      </c>
      <c r="K11" s="1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</row>
    <row r="12" spans="1:40" ht="16.5" thickBot="1">
      <c r="A12" s="172" t="s">
        <v>197</v>
      </c>
      <c r="B12" s="3"/>
      <c r="C12" s="173" t="s">
        <v>211</v>
      </c>
      <c r="D12" s="1"/>
      <c r="E12" s="1"/>
      <c r="F12" s="1"/>
      <c r="G12" s="1"/>
      <c r="H12" s="1"/>
      <c r="I12" s="1"/>
      <c r="J12" s="1"/>
      <c r="K12" s="1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</row>
    <row r="13" spans="1:40">
      <c r="A13" s="9"/>
      <c r="B13" s="3"/>
      <c r="C13" s="91"/>
      <c r="D13" s="1"/>
      <c r="E13" s="1"/>
      <c r="F13" s="1"/>
      <c r="G13" s="1"/>
      <c r="H13" s="1"/>
      <c r="I13" s="1"/>
      <c r="J13" s="1"/>
      <c r="K13" s="1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</row>
    <row r="14" spans="1:40">
      <c r="A14" s="9"/>
      <c r="B14" s="3"/>
      <c r="C14" s="91" t="s">
        <v>212</v>
      </c>
      <c r="D14" s="1" t="s">
        <v>418</v>
      </c>
      <c r="E14" s="1"/>
      <c r="F14" s="1"/>
      <c r="G14" s="1"/>
      <c r="H14" s="1"/>
      <c r="I14" s="1"/>
      <c r="J14" s="1"/>
      <c r="K14" s="1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</row>
    <row r="15" spans="1:40">
      <c r="A15" s="9">
        <v>1</v>
      </c>
      <c r="B15" s="3"/>
      <c r="C15" s="91" t="s">
        <v>213</v>
      </c>
      <c r="D15" s="1" t="s">
        <v>73</v>
      </c>
      <c r="E15" s="1">
        <f>+'WP6 Rate Base'!R15</f>
        <v>696999527.73461533</v>
      </c>
      <c r="F15" s="1"/>
      <c r="G15" s="1" t="s">
        <v>214</v>
      </c>
      <c r="H15" s="203" t="s">
        <v>194</v>
      </c>
      <c r="I15" s="1"/>
      <c r="J15" s="1" t="s">
        <v>194</v>
      </c>
      <c r="K15" s="1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</row>
    <row r="16" spans="1:40">
      <c r="A16" s="9">
        <f>+A15+1</f>
        <v>2</v>
      </c>
      <c r="B16" s="3"/>
      <c r="C16" s="91" t="s">
        <v>215</v>
      </c>
      <c r="D16" s="1" t="s">
        <v>120</v>
      </c>
      <c r="E16" s="1">
        <f>+'WP6 Rate Base'!R16</f>
        <v>273060852.39461541</v>
      </c>
      <c r="F16" s="1"/>
      <c r="G16" s="1" t="s">
        <v>200</v>
      </c>
      <c r="H16" s="203">
        <f>+J143</f>
        <v>0.86592599999999997</v>
      </c>
      <c r="I16" s="1"/>
      <c r="J16" s="1">
        <f>+H16*E16</f>
        <v>236450491.67065975</v>
      </c>
      <c r="K16" s="1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</row>
    <row r="17" spans="1:40">
      <c r="A17" s="9">
        <f t="shared" ref="A17:A62" si="0">+A16+1</f>
        <v>3</v>
      </c>
      <c r="B17" s="3"/>
      <c r="C17" s="91" t="s">
        <v>216</v>
      </c>
      <c r="D17" s="1" t="s">
        <v>121</v>
      </c>
      <c r="E17" s="1">
        <f>+'WP6 Rate Base'!R17</f>
        <v>502352636.27692306</v>
      </c>
      <c r="F17" s="1"/>
      <c r="G17" s="1" t="s">
        <v>214</v>
      </c>
      <c r="H17" s="204"/>
      <c r="I17" s="1"/>
      <c r="J17" s="1"/>
      <c r="K17" s="1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</row>
    <row r="18" spans="1:40">
      <c r="A18" s="9">
        <f t="shared" si="0"/>
        <v>4</v>
      </c>
      <c r="B18" s="3"/>
      <c r="C18" s="91" t="s">
        <v>217</v>
      </c>
      <c r="D18" s="1" t="s">
        <v>419</v>
      </c>
      <c r="E18" s="1">
        <f>+'WP6 Rate Base'!R18</f>
        <v>64545341.344615392</v>
      </c>
      <c r="F18" s="1"/>
      <c r="G18" s="1" t="s">
        <v>218</v>
      </c>
      <c r="H18" s="203">
        <f>J175</f>
        <v>0.10230390703184535</v>
      </c>
      <c r="I18" s="1"/>
      <c r="J18" s="1">
        <f>+H18*E18</f>
        <v>6603240.6002582563</v>
      </c>
      <c r="K18" s="1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</row>
    <row r="19" spans="1:40">
      <c r="A19" s="9">
        <f t="shared" si="0"/>
        <v>5</v>
      </c>
      <c r="B19" s="3"/>
      <c r="C19" s="91" t="s">
        <v>137</v>
      </c>
      <c r="D19" s="1" t="s">
        <v>420</v>
      </c>
      <c r="E19" s="1">
        <f>+'WP6 Rate Base'!R19</f>
        <v>28070254.179725535</v>
      </c>
      <c r="F19" s="1"/>
      <c r="G19" s="1" t="s">
        <v>218</v>
      </c>
      <c r="H19" s="203">
        <f>+H18</f>
        <v>0.10230390703184535</v>
      </c>
      <c r="I19" s="1"/>
      <c r="J19" s="1">
        <f>+H19*E19</f>
        <v>2871696.6739629093</v>
      </c>
      <c r="K19" s="1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</row>
    <row r="20" spans="1:40">
      <c r="A20" s="9">
        <f t="shared" si="0"/>
        <v>6</v>
      </c>
      <c r="B20" s="3"/>
      <c r="C20" s="91" t="s">
        <v>102</v>
      </c>
      <c r="D20" s="1" t="s">
        <v>419</v>
      </c>
      <c r="E20" s="1">
        <f>+'WP6 Rate Base'!R20</f>
        <v>6961164.9515384603</v>
      </c>
      <c r="F20" s="1"/>
      <c r="G20" s="1" t="s">
        <v>131</v>
      </c>
      <c r="H20" s="203">
        <f>+J181</f>
        <v>0.34675888359954504</v>
      </c>
      <c r="I20" s="1"/>
      <c r="J20" s="1">
        <f>+H20*E20</f>
        <v>2413845.7871477576</v>
      </c>
      <c r="K20" s="1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</row>
    <row r="21" spans="1:40" ht="15.75" thickBot="1">
      <c r="A21" s="9">
        <f t="shared" si="0"/>
        <v>7</v>
      </c>
      <c r="B21" s="3"/>
      <c r="C21" s="91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03">
        <v>0</v>
      </c>
      <c r="I21" s="1"/>
      <c r="J21" s="4">
        <f>+H21*E21</f>
        <v>0</v>
      </c>
      <c r="K21" s="1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</row>
    <row r="22" spans="1:40">
      <c r="A22" s="9">
        <f t="shared" si="0"/>
        <v>8</v>
      </c>
      <c r="B22" s="3"/>
      <c r="C22" s="90" t="s">
        <v>5</v>
      </c>
      <c r="D22" s="1" t="str">
        <f>"(sum lines "&amp;A15&amp;" - "&amp;A21&amp;")"</f>
        <v>(sum lines 1 - 7)</v>
      </c>
      <c r="E22" s="1">
        <f>SUM(E15:E21)</f>
        <v>1571989776.8820333</v>
      </c>
      <c r="F22" s="1"/>
      <c r="G22" s="1" t="s">
        <v>221</v>
      </c>
      <c r="H22" s="205">
        <f>IF(E22&gt;0,+J22/E22,0)</f>
        <v>0.15797766523939982</v>
      </c>
      <c r="I22" s="1"/>
      <c r="J22" s="1">
        <f>SUM(J15:J21)</f>
        <v>248339274.73202869</v>
      </c>
      <c r="K22" s="1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</row>
    <row r="23" spans="1:40">
      <c r="A23" s="9">
        <f t="shared" si="0"/>
        <v>9</v>
      </c>
      <c r="B23" s="3"/>
      <c r="C23" s="91"/>
      <c r="D23" s="1"/>
      <c r="E23" s="1"/>
      <c r="F23" s="1"/>
      <c r="G23" s="1"/>
      <c r="H23" s="205"/>
      <c r="I23" s="1"/>
      <c r="J23" s="1"/>
      <c r="K23" s="1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1:40">
      <c r="A24" s="9">
        <f t="shared" si="0"/>
        <v>10</v>
      </c>
      <c r="B24" s="3"/>
      <c r="C24" s="91" t="s">
        <v>222</v>
      </c>
      <c r="D24" s="1" t="s">
        <v>418</v>
      </c>
      <c r="E24" s="1"/>
      <c r="F24" s="1"/>
      <c r="G24" s="1"/>
      <c r="H24" s="1"/>
      <c r="I24" s="1"/>
      <c r="J24" s="1"/>
      <c r="K24" s="1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</row>
    <row r="25" spans="1:40">
      <c r="A25" s="9">
        <f t="shared" si="0"/>
        <v>11</v>
      </c>
      <c r="B25" s="3"/>
      <c r="C25" s="91" t="str">
        <f>+C15</f>
        <v xml:space="preserve">  Production</v>
      </c>
      <c r="D25" s="1" t="s">
        <v>407</v>
      </c>
      <c r="E25" s="1">
        <f>+'WP6 Rate Base'!R25</f>
        <v>235017037.66554436</v>
      </c>
      <c r="F25" s="1"/>
      <c r="G25" s="1" t="str">
        <f>+G15</f>
        <v>NA</v>
      </c>
      <c r="H25" s="203" t="str">
        <f>+H15</f>
        <v xml:space="preserve"> </v>
      </c>
      <c r="I25" s="1"/>
      <c r="J25" s="1" t="s">
        <v>194</v>
      </c>
      <c r="K25" s="1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</row>
    <row r="26" spans="1:40">
      <c r="A26" s="9">
        <f t="shared" si="0"/>
        <v>12</v>
      </c>
      <c r="B26" s="3"/>
      <c r="C26" s="91" t="s">
        <v>215</v>
      </c>
      <c r="D26" s="1" t="s">
        <v>122</v>
      </c>
      <c r="E26" s="1">
        <f>+'WP6 Rate Base'!R26</f>
        <v>48643724.497458525</v>
      </c>
      <c r="F26" s="1"/>
      <c r="G26" s="1" t="s">
        <v>80</v>
      </c>
      <c r="H26" s="203">
        <f>+J161</f>
        <v>0.84461200000000003</v>
      </c>
      <c r="I26" s="1"/>
      <c r="J26" s="1">
        <f>+H26*E26</f>
        <v>41085073.435247444</v>
      </c>
      <c r="K26" s="1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</row>
    <row r="27" spans="1:40">
      <c r="A27" s="9">
        <f t="shared" si="0"/>
        <v>13</v>
      </c>
      <c r="B27" s="3"/>
      <c r="C27" s="91" t="s">
        <v>216</v>
      </c>
      <c r="D27" s="1" t="s">
        <v>123</v>
      </c>
      <c r="E27" s="1">
        <f>+'WP6 Rate Base'!R27</f>
        <v>166355496.27058154</v>
      </c>
      <c r="F27" s="1"/>
      <c r="G27" s="1" t="s">
        <v>214</v>
      </c>
      <c r="H27" s="203"/>
      <c r="I27" s="1"/>
      <c r="J27" s="1"/>
      <c r="K27" s="1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</row>
    <row r="28" spans="1:40">
      <c r="A28" s="9">
        <f t="shared" si="0"/>
        <v>14</v>
      </c>
      <c r="B28" s="3"/>
      <c r="C28" s="91" t="str">
        <f>+C18</f>
        <v xml:space="preserve">  General &amp; Intangible</v>
      </c>
      <c r="D28" s="1" t="s">
        <v>406</v>
      </c>
      <c r="E28" s="1">
        <f>+'WP6 Rate Base'!R28</f>
        <v>25706826.595387582</v>
      </c>
      <c r="F28" s="1"/>
      <c r="G28" s="1" t="str">
        <f>+G18</f>
        <v>W/S</v>
      </c>
      <c r="H28" s="203">
        <f>+H18</f>
        <v>0.10230390703184535</v>
      </c>
      <c r="I28" s="1"/>
      <c r="J28" s="1">
        <f>+H28*E28</f>
        <v>2629908.7980983006</v>
      </c>
      <c r="K28" s="1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</row>
    <row r="29" spans="1:40">
      <c r="A29" s="9">
        <f t="shared" si="0"/>
        <v>15</v>
      </c>
      <c r="B29" s="3"/>
      <c r="C29" s="91" t="s">
        <v>137</v>
      </c>
      <c r="D29" s="1" t="s">
        <v>420</v>
      </c>
      <c r="E29" s="1">
        <f>+'WP6 Rate Base'!R29</f>
        <v>6003993.9013019558</v>
      </c>
      <c r="F29" s="1"/>
      <c r="G29" s="1" t="str">
        <f>+G19</f>
        <v>W/S</v>
      </c>
      <c r="H29" s="203">
        <f>+H28</f>
        <v>0.10230390703184535</v>
      </c>
      <c r="I29" s="1"/>
      <c r="J29" s="1">
        <f>+H29*E29</f>
        <v>614232.03389856173</v>
      </c>
      <c r="K29" s="1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</row>
    <row r="30" spans="1:40">
      <c r="A30" s="9">
        <f t="shared" si="0"/>
        <v>16</v>
      </c>
      <c r="B30" s="3"/>
      <c r="C30" s="91" t="str">
        <f>+C20</f>
        <v xml:space="preserve">  Communication System</v>
      </c>
      <c r="D30" s="1" t="s">
        <v>419</v>
      </c>
      <c r="E30" s="1">
        <f>+'WP6 Rate Base'!R30</f>
        <v>4644980.0374917714</v>
      </c>
      <c r="F30" s="1"/>
      <c r="G30" s="1" t="str">
        <f>+G20</f>
        <v>T&amp;D</v>
      </c>
      <c r="H30" s="203">
        <f>+H20</f>
        <v>0.34675888359954504</v>
      </c>
      <c r="I30" s="1"/>
      <c r="J30" s="1">
        <f>+H30*E30</f>
        <v>1610688.0921428194</v>
      </c>
      <c r="K30" s="1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</row>
    <row r="31" spans="1:40" ht="15.75" thickBot="1">
      <c r="A31" s="9">
        <f t="shared" si="0"/>
        <v>17</v>
      </c>
      <c r="B31" s="3"/>
      <c r="C31" s="91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03">
        <f>+H21</f>
        <v>0</v>
      </c>
      <c r="I31" s="1"/>
      <c r="J31" s="4">
        <f>+H31*E31</f>
        <v>0</v>
      </c>
      <c r="K31" s="1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</row>
    <row r="32" spans="1:40">
      <c r="A32" s="9">
        <f t="shared" si="0"/>
        <v>18</v>
      </c>
      <c r="B32" s="3"/>
      <c r="C32" s="91" t="s">
        <v>7</v>
      </c>
      <c r="D32" s="1" t="str">
        <f>"(sum lines "&amp;A25&amp;" - "&amp;A31&amp;")"</f>
        <v>(sum lines 11 - 17)</v>
      </c>
      <c r="E32" s="1">
        <f>SUM(E25:E31)</f>
        <v>486372058.96776581</v>
      </c>
      <c r="F32" s="1"/>
      <c r="G32" s="1"/>
      <c r="H32" s="1"/>
      <c r="I32" s="1"/>
      <c r="J32" s="1">
        <f>SUM(J25:J31)</f>
        <v>45939902.35938713</v>
      </c>
      <c r="K32" s="1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05"/>
      <c r="I33" s="1"/>
      <c r="J33" s="3"/>
      <c r="K33" s="1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</row>
    <row r="34" spans="1:40">
      <c r="A34" s="9">
        <f t="shared" si="0"/>
        <v>20</v>
      </c>
      <c r="B34" s="3"/>
      <c r="C34" s="91" t="s">
        <v>223</v>
      </c>
      <c r="D34" s="1" t="s">
        <v>418</v>
      </c>
      <c r="E34" s="1"/>
      <c r="F34" s="1"/>
      <c r="G34" s="1"/>
      <c r="H34" s="1"/>
      <c r="I34" s="1"/>
      <c r="J34" s="1"/>
      <c r="K34" s="1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</row>
    <row r="35" spans="1:40">
      <c r="A35" s="9">
        <f t="shared" si="0"/>
        <v>21</v>
      </c>
      <c r="B35" s="3"/>
      <c r="C35" s="91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461982490.06907094</v>
      </c>
      <c r="F35" s="1"/>
      <c r="G35" s="1" t="s">
        <v>91</v>
      </c>
      <c r="H35" s="205"/>
      <c r="I35" s="1"/>
      <c r="J35" s="1" t="s">
        <v>194</v>
      </c>
      <c r="K35" s="1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</row>
    <row r="36" spans="1:40">
      <c r="A36" s="9">
        <f t="shared" si="0"/>
        <v>22</v>
      </c>
      <c r="B36" s="3"/>
      <c r="C36" s="91" t="s">
        <v>215</v>
      </c>
      <c r="D36" s="1" t="str">
        <f t="shared" si="1"/>
        <v>(line 2 - line 12)</v>
      </c>
      <c r="E36" s="1">
        <f t="shared" si="2"/>
        <v>224417127.89715689</v>
      </c>
      <c r="F36" s="1"/>
      <c r="G36" s="1" t="s">
        <v>91</v>
      </c>
      <c r="H36" s="203"/>
      <c r="I36" s="1"/>
      <c r="J36" s="1">
        <f>J16-J26</f>
        <v>195365418.2354123</v>
      </c>
      <c r="K36" s="1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</row>
    <row r="37" spans="1:40">
      <c r="A37" s="9">
        <f t="shared" si="0"/>
        <v>23</v>
      </c>
      <c r="B37" s="3"/>
      <c r="C37" s="91" t="s">
        <v>297</v>
      </c>
      <c r="D37" s="1" t="str">
        <f t="shared" si="1"/>
        <v>(line 3 - line 13)</v>
      </c>
      <c r="E37" s="1">
        <f t="shared" si="2"/>
        <v>335997140.00634152</v>
      </c>
      <c r="F37" s="1"/>
      <c r="G37" s="1" t="s">
        <v>91</v>
      </c>
      <c r="H37" s="205"/>
      <c r="I37" s="1"/>
      <c r="J37" s="1"/>
      <c r="K37" s="1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</row>
    <row r="38" spans="1:40">
      <c r="A38" s="9">
        <f t="shared" si="0"/>
        <v>24</v>
      </c>
      <c r="B38" s="3"/>
      <c r="C38" s="91" t="str">
        <f>+C28</f>
        <v xml:space="preserve">  General &amp; Intangible</v>
      </c>
      <c r="D38" s="1" t="str">
        <f t="shared" si="1"/>
        <v>(line 4 - line 14)</v>
      </c>
      <c r="E38" s="1">
        <f t="shared" si="2"/>
        <v>38838514.749227807</v>
      </c>
      <c r="F38" s="1"/>
      <c r="G38" s="1" t="s">
        <v>91</v>
      </c>
      <c r="H38" s="205"/>
      <c r="I38" s="1"/>
      <c r="J38" s="1">
        <f>J18-J28</f>
        <v>3973331.8021599557</v>
      </c>
      <c r="K38" s="1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</row>
    <row r="39" spans="1:40">
      <c r="A39" s="9">
        <f t="shared" si="0"/>
        <v>25</v>
      </c>
      <c r="B39" s="3"/>
      <c r="C39" s="91" t="s">
        <v>137</v>
      </c>
      <c r="D39" s="1" t="str">
        <f t="shared" si="1"/>
        <v>(line 5 - line 15)</v>
      </c>
      <c r="E39" s="1">
        <f t="shared" si="2"/>
        <v>22066260.278423578</v>
      </c>
      <c r="F39" s="1"/>
      <c r="G39" s="1" t="s">
        <v>91</v>
      </c>
      <c r="H39" s="205"/>
      <c r="I39" s="1"/>
      <c r="J39" s="1">
        <f>J19-J29</f>
        <v>2257464.6400643475</v>
      </c>
      <c r="K39" s="1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</row>
    <row r="40" spans="1:40">
      <c r="A40" s="9">
        <f t="shared" si="0"/>
        <v>26</v>
      </c>
      <c r="B40" s="3"/>
      <c r="C40" s="91" t="str">
        <f>+C30</f>
        <v xml:space="preserve">  Communication System</v>
      </c>
      <c r="D40" s="1" t="str">
        <f t="shared" si="1"/>
        <v>(line 6 - line 16)</v>
      </c>
      <c r="E40" s="1">
        <f t="shared" si="2"/>
        <v>2316184.9140466889</v>
      </c>
      <c r="F40" s="1"/>
      <c r="G40" s="1" t="s">
        <v>91</v>
      </c>
      <c r="H40" s="205"/>
      <c r="I40" s="1"/>
      <c r="J40" s="1">
        <f>J20-J30</f>
        <v>803157.69500493817</v>
      </c>
      <c r="K40" s="1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</row>
    <row r="41" spans="1:40" ht="15.75" thickBot="1">
      <c r="A41" s="9">
        <f t="shared" si="0"/>
        <v>27</v>
      </c>
      <c r="B41" s="3"/>
      <c r="C41" s="91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05"/>
      <c r="I41" s="1"/>
      <c r="J41" s="4">
        <f>J21-J31</f>
        <v>0</v>
      </c>
      <c r="K41" s="1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</row>
    <row r="42" spans="1:40">
      <c r="A42" s="9">
        <f t="shared" si="0"/>
        <v>28</v>
      </c>
      <c r="B42" s="3"/>
      <c r="C42" s="91" t="s">
        <v>6</v>
      </c>
      <c r="D42" s="1" t="str">
        <f>"(sum lines "&amp;A35&amp;" - "&amp;A41&amp;")"</f>
        <v>(sum lines 21 - 27)</v>
      </c>
      <c r="E42" s="1">
        <f t="shared" si="2"/>
        <v>1085617717.9142675</v>
      </c>
      <c r="F42" s="1"/>
      <c r="G42" s="1" t="s">
        <v>224</v>
      </c>
      <c r="H42" s="205">
        <f>IF(E42&gt;0,+J42/E42,0)</f>
        <v>0.18643705701625743</v>
      </c>
      <c r="I42" s="1"/>
      <c r="J42" s="1">
        <f>SUM(J35:J41)</f>
        <v>202399372.37264156</v>
      </c>
      <c r="K42" s="1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</row>
    <row r="44" spans="1:40">
      <c r="A44" s="9">
        <f t="shared" si="0"/>
        <v>30</v>
      </c>
      <c r="B44" s="3"/>
      <c r="C44" s="90" t="s">
        <v>39</v>
      </c>
      <c r="D44" s="1" t="s">
        <v>421</v>
      </c>
      <c r="E44" s="1"/>
      <c r="F44" s="1"/>
      <c r="G44" s="1"/>
      <c r="H44" s="1"/>
      <c r="I44" s="1"/>
      <c r="J44" s="1"/>
      <c r="K44" s="1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</row>
    <row r="45" spans="1:40">
      <c r="A45" s="9">
        <f t="shared" si="0"/>
        <v>31</v>
      </c>
      <c r="B45" s="3"/>
      <c r="C45" s="91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06" t="s">
        <v>290</v>
      </c>
      <c r="I45" s="1"/>
      <c r="J45" s="19">
        <v>0</v>
      </c>
      <c r="K45" s="1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</row>
    <row r="46" spans="1:40">
      <c r="A46" s="9">
        <f t="shared" si="0"/>
        <v>32</v>
      </c>
      <c r="B46" s="3"/>
      <c r="C46" s="91" t="s">
        <v>270</v>
      </c>
      <c r="D46" s="1" t="s">
        <v>227</v>
      </c>
      <c r="E46" s="19">
        <f>+'WP6 Rate Base'!G51</f>
        <v>-145419034.95363283</v>
      </c>
      <c r="F46" s="1"/>
      <c r="G46" s="1" t="s">
        <v>226</v>
      </c>
      <c r="H46" s="203">
        <f>+H42</f>
        <v>0.18643705701625743</v>
      </c>
      <c r="I46" s="1"/>
      <c r="J46" s="19">
        <f>E46*H46</f>
        <v>-27111496.910899576</v>
      </c>
      <c r="K46" s="1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</row>
    <row r="47" spans="1:40">
      <c r="A47" s="9">
        <f t="shared" si="0"/>
        <v>33</v>
      </c>
      <c r="B47" s="3"/>
      <c r="C47" s="91" t="s">
        <v>271</v>
      </c>
      <c r="D47" s="1" t="s">
        <v>228</v>
      </c>
      <c r="E47" s="19">
        <f>+'WP6 Rate Base'!G52</f>
        <v>-18413048.5</v>
      </c>
      <c r="F47" s="1"/>
      <c r="G47" s="1" t="str">
        <f>+G46</f>
        <v>NP</v>
      </c>
      <c r="H47" s="203">
        <f>H42</f>
        <v>0.18643705701625743</v>
      </c>
      <c r="I47" s="1"/>
      <c r="J47" s="19">
        <f>E47*H47</f>
        <v>-3432874.5730376132</v>
      </c>
      <c r="K47" s="1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</row>
    <row r="48" spans="1:40">
      <c r="A48" s="9">
        <f t="shared" si="0"/>
        <v>34</v>
      </c>
      <c r="B48" s="3"/>
      <c r="C48" s="91" t="s">
        <v>273</v>
      </c>
      <c r="D48" s="1" t="s">
        <v>229</v>
      </c>
      <c r="E48" s="19">
        <f>+'WP6 Rate Base'!G53</f>
        <v>41149399.5</v>
      </c>
      <c r="F48" s="1"/>
      <c r="G48" s="1" t="str">
        <f>+G47</f>
        <v>NP</v>
      </c>
      <c r="H48" s="203">
        <f>+H47</f>
        <v>0.18643705701625743</v>
      </c>
      <c r="I48" s="1"/>
      <c r="J48" s="19">
        <f>E48*H48</f>
        <v>7671772.9407662554</v>
      </c>
      <c r="K48" s="1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03">
        <f>+H47</f>
        <v>0.18643705701625743</v>
      </c>
      <c r="I49" s="1"/>
      <c r="J49" s="46">
        <f>E49*H49</f>
        <v>0</v>
      </c>
      <c r="K49" s="1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</row>
    <row r="50" spans="1:40" ht="15.75" thickBot="1">
      <c r="A50" s="9">
        <f t="shared" si="0"/>
        <v>36</v>
      </c>
      <c r="B50" s="3"/>
      <c r="C50" s="91" t="s">
        <v>292</v>
      </c>
      <c r="D50" s="3" t="s">
        <v>422</v>
      </c>
      <c r="E50" s="207">
        <f>+'WP6 Rate Base'!G55</f>
        <v>-91507276.238380969</v>
      </c>
      <c r="F50" s="1"/>
      <c r="G50" s="1" t="str">
        <f>+G49</f>
        <v>NP</v>
      </c>
      <c r="H50" s="203">
        <f>+H49</f>
        <v>0.18643705701625743</v>
      </c>
      <c r="I50" s="1"/>
      <c r="J50" s="207">
        <f>+H50*E50</f>
        <v>-17060347.27745745</v>
      </c>
      <c r="K50" s="1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</row>
    <row r="51" spans="1:40">
      <c r="A51" s="9">
        <f t="shared" si="0"/>
        <v>37</v>
      </c>
      <c r="B51" s="3"/>
      <c r="C51" s="91" t="s">
        <v>8</v>
      </c>
      <c r="D51" s="1" t="str">
        <f>"(sum lines "&amp;A45&amp;" - "&amp;A50&amp;")"</f>
        <v>(sum lines 31 - 36)</v>
      </c>
      <c r="E51" s="19">
        <f>SUM(E45:E50)</f>
        <v>-214189960.1920138</v>
      </c>
      <c r="F51" s="1"/>
      <c r="G51" s="1"/>
      <c r="H51" s="1"/>
      <c r="I51" s="1"/>
      <c r="J51" s="19">
        <f>SUM(J45:J50)</f>
        <v>-39932945.820628382</v>
      </c>
      <c r="K51" s="1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05"/>
      <c r="I52" s="1"/>
      <c r="J52" s="3"/>
      <c r="K52" s="1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</row>
    <row r="53" spans="1:40">
      <c r="A53" s="9">
        <f t="shared" si="0"/>
        <v>39</v>
      </c>
      <c r="B53" s="3"/>
      <c r="C53" s="90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03">
        <v>0</v>
      </c>
      <c r="I53" s="1"/>
      <c r="J53" s="1">
        <f>+H53*E53</f>
        <v>0</v>
      </c>
      <c r="K53" s="1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</row>
    <row r="54" spans="1:40">
      <c r="A54" s="9">
        <f t="shared" si="0"/>
        <v>40</v>
      </c>
      <c r="B54" s="3"/>
      <c r="C54" s="91"/>
      <c r="D54" s="1"/>
      <c r="E54" s="1"/>
      <c r="F54" s="1"/>
      <c r="G54" s="1"/>
      <c r="H54" s="1"/>
      <c r="I54" s="1"/>
      <c r="J54" s="1"/>
      <c r="K54" s="1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</row>
    <row r="55" spans="1:40">
      <c r="A55" s="9">
        <f t="shared" si="0"/>
        <v>41</v>
      </c>
      <c r="B55" s="3"/>
      <c r="C55" s="91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</row>
    <row r="56" spans="1:40">
      <c r="A56" s="9">
        <f t="shared" si="0"/>
        <v>42</v>
      </c>
      <c r="B56" s="3"/>
      <c r="C56" s="91" t="s">
        <v>289</v>
      </c>
      <c r="D56" s="3" t="str">
        <f>"(1/8 * line "&amp;A85&amp;")"</f>
        <v>(1/8 * line 58)</v>
      </c>
      <c r="E56" s="1">
        <f>+E85/8</f>
        <v>4414852.5</v>
      </c>
      <c r="F56" s="1"/>
      <c r="G56" s="1" t="s">
        <v>91</v>
      </c>
      <c r="H56" s="205"/>
      <c r="I56" s="1"/>
      <c r="J56" s="1">
        <f>+J85/8</f>
        <v>627087.56871237478</v>
      </c>
      <c r="K56" s="72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</row>
    <row r="57" spans="1:40">
      <c r="A57" s="9">
        <f t="shared" si="0"/>
        <v>43</v>
      </c>
      <c r="B57" s="3"/>
      <c r="C57" s="91" t="s">
        <v>358</v>
      </c>
      <c r="D57" s="1" t="s">
        <v>134</v>
      </c>
      <c r="E57" s="1">
        <f>+'WP6 Rate Base'!G62</f>
        <v>7212101</v>
      </c>
      <c r="F57" s="1"/>
      <c r="G57" s="1" t="s">
        <v>131</v>
      </c>
      <c r="H57" s="203">
        <f>+J181</f>
        <v>0.34675888359954504</v>
      </c>
      <c r="I57" s="1"/>
      <c r="J57" s="1">
        <f>+H57*E57</f>
        <v>2500860.0911671622</v>
      </c>
      <c r="K57" s="1" t="s">
        <v>194</v>
      </c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</row>
    <row r="58" spans="1:40">
      <c r="A58" s="9">
        <f t="shared" si="0"/>
        <v>44</v>
      </c>
      <c r="B58" s="3"/>
      <c r="C58" s="91" t="s">
        <v>358</v>
      </c>
      <c r="D58" s="1" t="s">
        <v>133</v>
      </c>
      <c r="E58" s="1">
        <f>+'WP6 Rate Base'!G63</f>
        <v>24451.041936920701</v>
      </c>
      <c r="F58" s="1"/>
      <c r="G58" s="1" t="s">
        <v>200</v>
      </c>
      <c r="H58" s="203">
        <f>+J143</f>
        <v>0.86592599999999997</v>
      </c>
      <c r="I58" s="1"/>
      <c r="J58" s="1">
        <f>+H58*E58</f>
        <v>21172.792940269996</v>
      </c>
      <c r="K58" s="1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</row>
    <row r="59" spans="1:40" ht="15.75" thickBot="1">
      <c r="A59" s="9">
        <f t="shared" si="0"/>
        <v>45</v>
      </c>
      <c r="B59" s="3"/>
      <c r="C59" s="91" t="s">
        <v>274</v>
      </c>
      <c r="D59" s="1" t="s">
        <v>423</v>
      </c>
      <c r="E59" s="208">
        <f>+'WP6 Rate Base'!G64</f>
        <v>4258984</v>
      </c>
      <c r="F59" s="1"/>
      <c r="G59" s="1" t="s">
        <v>231</v>
      </c>
      <c r="H59" s="203">
        <f>+H22</f>
        <v>0.15797766523939982</v>
      </c>
      <c r="I59" s="1"/>
      <c r="J59" s="4">
        <f>+H59*E59</f>
        <v>672824.34861196007</v>
      </c>
      <c r="K59" s="1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</row>
    <row r="60" spans="1:40">
      <c r="A60" s="9">
        <f t="shared" si="0"/>
        <v>46</v>
      </c>
      <c r="B60" s="3"/>
      <c r="C60" s="91" t="s">
        <v>9</v>
      </c>
      <c r="D60" s="1" t="str">
        <f>"(sum lines "&amp;A56&amp;" - "&amp;A59&amp;")"</f>
        <v>(sum lines 42 - 45)</v>
      </c>
      <c r="E60" s="1">
        <f>SUM(E56:E59)</f>
        <v>15910388.541936921</v>
      </c>
      <c r="F60" s="72"/>
      <c r="G60" s="72"/>
      <c r="H60" s="72"/>
      <c r="I60" s="72"/>
      <c r="J60" s="1">
        <f>SUM(J56:J59)</f>
        <v>3821944.8014317672</v>
      </c>
      <c r="K60" s="72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</row>
    <row r="61" spans="1:40" ht="15.75" thickBot="1">
      <c r="A61" s="9">
        <f t="shared" si="0"/>
        <v>47</v>
      </c>
      <c r="B61" s="3"/>
      <c r="C61" s="3"/>
      <c r="D61" s="1"/>
      <c r="E61" s="209"/>
      <c r="F61" s="1"/>
      <c r="G61" s="1"/>
      <c r="H61" s="1"/>
      <c r="I61" s="1"/>
      <c r="J61" s="210"/>
      <c r="K61" s="1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</row>
    <row r="62" spans="1:40" ht="15.75" thickBot="1">
      <c r="A62" s="9">
        <f t="shared" si="0"/>
        <v>48</v>
      </c>
      <c r="B62" s="3"/>
      <c r="C62" s="91" t="s">
        <v>10</v>
      </c>
      <c r="D62" s="1" t="str">
        <f>"(sum lines "&amp;A42&amp;", "&amp;A51&amp;", "&amp;A53&amp;", &amp; "&amp;A60&amp;")"</f>
        <v>(sum lines 28, 37, 39, &amp; 46)</v>
      </c>
      <c r="E62" s="211"/>
      <c r="F62" s="1"/>
      <c r="G62" s="1"/>
      <c r="H62" s="205"/>
      <c r="I62" s="1"/>
      <c r="J62" s="212">
        <f>+J60+J53+J51+J42</f>
        <v>166288371.35344493</v>
      </c>
      <c r="K62" s="1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</row>
    <row r="63" spans="1:40" ht="15.75" thickTop="1">
      <c r="A63" s="9"/>
      <c r="B63" s="3"/>
      <c r="C63" s="91"/>
      <c r="D63" s="1"/>
      <c r="E63" s="211"/>
      <c r="F63" s="1"/>
      <c r="G63" s="1"/>
      <c r="H63" s="205"/>
      <c r="I63" s="163" t="s">
        <v>417</v>
      </c>
      <c r="J63" s="213">
        <f>J1</f>
        <v>45077</v>
      </c>
      <c r="K63" s="1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</row>
    <row r="64" spans="1:40">
      <c r="A64" s="9"/>
      <c r="B64" s="3"/>
      <c r="C64" s="91"/>
      <c r="D64" s="1"/>
      <c r="E64" s="1"/>
      <c r="F64" s="1"/>
      <c r="G64" s="1"/>
      <c r="I64" s="163" t="str">
        <f>$I$2</f>
        <v>Service Year</v>
      </c>
      <c r="J64" s="72">
        <f>$J$2</f>
        <v>2022</v>
      </c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</row>
    <row r="65" spans="1:40">
      <c r="A65" s="9"/>
      <c r="B65" s="3"/>
      <c r="C65" s="91"/>
      <c r="D65" s="1"/>
      <c r="E65" s="1"/>
      <c r="F65" s="1"/>
      <c r="G65" s="1"/>
      <c r="H65" s="1"/>
      <c r="I65" s="1"/>
      <c r="J65" s="1"/>
      <c r="K65" s="1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</row>
    <row r="66" spans="1:40" ht="15.75">
      <c r="A66" s="324" t="s">
        <v>321</v>
      </c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</row>
    <row r="67" spans="1:40" ht="15.75">
      <c r="A67" s="325" t="s">
        <v>195</v>
      </c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</row>
    <row r="68" spans="1:40">
      <c r="A68" s="3"/>
      <c r="B68" s="3"/>
      <c r="C68" s="72"/>
      <c r="D68" s="72"/>
      <c r="F68" s="72"/>
      <c r="G68" s="72"/>
      <c r="H68" s="72"/>
      <c r="I68" s="72"/>
      <c r="J68" s="72"/>
      <c r="K68" s="72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</row>
    <row r="69" spans="1:40" ht="15.75">
      <c r="A69" s="326" t="s">
        <v>320</v>
      </c>
      <c r="B69" s="326"/>
      <c r="C69" s="326"/>
      <c r="D69" s="326"/>
      <c r="E69" s="326"/>
      <c r="F69" s="326"/>
      <c r="G69" s="326"/>
      <c r="H69" s="326"/>
      <c r="I69" s="326"/>
      <c r="J69" s="326"/>
      <c r="K69" s="326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</row>
    <row r="70" spans="1:40">
      <c r="A70" s="9"/>
      <c r="B70" s="3"/>
      <c r="C70" s="168" t="s">
        <v>201</v>
      </c>
      <c r="D70" s="168" t="s">
        <v>202</v>
      </c>
      <c r="E70" s="168" t="s">
        <v>203</v>
      </c>
      <c r="F70" s="1" t="s">
        <v>194</v>
      </c>
      <c r="G70" s="1"/>
      <c r="H70" s="198" t="s">
        <v>204</v>
      </c>
      <c r="I70" s="1"/>
      <c r="J70" s="199" t="s">
        <v>205</v>
      </c>
      <c r="K70" s="1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</row>
    <row r="71" spans="1:40">
      <c r="A71" s="9"/>
      <c r="B71" s="3"/>
      <c r="C71" s="168"/>
      <c r="D71" s="2"/>
      <c r="E71" s="2"/>
      <c r="F71" s="2"/>
      <c r="G71" s="2"/>
      <c r="H71" s="2"/>
      <c r="I71" s="2"/>
      <c r="J71" s="2"/>
      <c r="K71" s="2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</row>
    <row r="72" spans="1:40" ht="15.75">
      <c r="A72" s="9" t="s">
        <v>196</v>
      </c>
      <c r="B72" s="3"/>
      <c r="C72" s="91"/>
      <c r="D72" s="166" t="s">
        <v>206</v>
      </c>
      <c r="E72" s="1"/>
      <c r="F72" s="1"/>
      <c r="G72" s="170" t="str">
        <f>+G10</f>
        <v xml:space="preserve">      Allocator</v>
      </c>
      <c r="H72" s="9"/>
      <c r="I72" s="1"/>
      <c r="J72" s="165" t="s">
        <v>207</v>
      </c>
      <c r="K72" s="1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</row>
    <row r="73" spans="1:40" ht="16.5" thickBot="1">
      <c r="A73" s="172" t="s">
        <v>197</v>
      </c>
      <c r="B73" s="3"/>
      <c r="C73" s="91"/>
      <c r="D73" s="169" t="s">
        <v>208</v>
      </c>
      <c r="E73" s="165" t="s">
        <v>209</v>
      </c>
      <c r="F73" s="170"/>
      <c r="G73" s="201" t="str">
        <f>+G11</f>
        <v xml:space="preserve">        (page 4)</v>
      </c>
      <c r="H73" s="3"/>
      <c r="I73" s="170"/>
      <c r="J73" s="9" t="s">
        <v>210</v>
      </c>
      <c r="K73" s="1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</row>
    <row r="74" spans="1:40" ht="15.75">
      <c r="A74" s="3"/>
      <c r="B74" s="3"/>
      <c r="C74" s="91"/>
      <c r="D74" s="1"/>
      <c r="E74" s="214"/>
      <c r="F74" s="215"/>
      <c r="G74" s="216"/>
      <c r="H74" s="3"/>
      <c r="I74" s="215"/>
      <c r="J74" s="214"/>
      <c r="K74" s="1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</row>
    <row r="75" spans="1:40">
      <c r="A75" s="9"/>
      <c r="B75" s="3"/>
      <c r="C75" s="91" t="s">
        <v>232</v>
      </c>
      <c r="D75" s="1"/>
      <c r="E75" s="1"/>
      <c r="F75" s="1"/>
      <c r="G75" s="1"/>
      <c r="H75" s="1"/>
      <c r="I75" s="1"/>
      <c r="J75" s="1"/>
      <c r="K75" s="1"/>
      <c r="L75" s="197"/>
      <c r="M75" s="197"/>
      <c r="N75" s="197"/>
      <c r="O75" s="175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</row>
    <row r="76" spans="1:40">
      <c r="A76" s="9">
        <f>+A62+1</f>
        <v>49</v>
      </c>
      <c r="B76" s="3"/>
      <c r="C76" s="91" t="s">
        <v>233</v>
      </c>
      <c r="D76" s="1" t="s">
        <v>138</v>
      </c>
      <c r="E76" s="267">
        <v>31365049</v>
      </c>
      <c r="F76" s="1"/>
      <c r="G76" s="1" t="s">
        <v>200</v>
      </c>
      <c r="H76" s="203">
        <f>+J143</f>
        <v>0.86592599999999997</v>
      </c>
      <c r="I76" s="1"/>
      <c r="J76" s="1">
        <f>+H76*E76</f>
        <v>27159811.420373999</v>
      </c>
      <c r="K76" s="72"/>
      <c r="L76" s="197"/>
      <c r="M76" s="197"/>
      <c r="N76" s="197"/>
      <c r="O76" s="175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</row>
    <row r="77" spans="1:40">
      <c r="A77" s="9">
        <f>+A76+1</f>
        <v>50</v>
      </c>
      <c r="B77" s="3"/>
      <c r="C77" s="91" t="s">
        <v>49</v>
      </c>
      <c r="D77" s="1" t="s">
        <v>434</v>
      </c>
      <c r="E77" s="267">
        <f>154057+736910+256629+280097+639603+258+-18544+135015+26492301</f>
        <v>28676326</v>
      </c>
      <c r="F77" s="1"/>
      <c r="G77" s="1" t="str">
        <f>+G76</f>
        <v>TP</v>
      </c>
      <c r="H77" s="203">
        <f>+H76</f>
        <v>0.86592599999999997</v>
      </c>
      <c r="I77" s="1"/>
      <c r="J77" s="1">
        <f t="shared" ref="J77:J84" si="3">+H77*E77</f>
        <v>24831576.267875999</v>
      </c>
      <c r="K77" s="72"/>
      <c r="L77" s="197"/>
      <c r="M77" s="197"/>
      <c r="N77" s="197"/>
      <c r="O77" s="175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</row>
    <row r="78" spans="1:40">
      <c r="A78" s="9">
        <f t="shared" ref="A78:A119" si="4">+A77+1</f>
        <v>51</v>
      </c>
      <c r="B78" s="3"/>
      <c r="C78" s="91" t="s">
        <v>234</v>
      </c>
      <c r="D78" s="1" t="s">
        <v>125</v>
      </c>
      <c r="E78" s="267">
        <v>35443020</v>
      </c>
      <c r="F78" s="1"/>
      <c r="G78" s="1" t="s">
        <v>218</v>
      </c>
      <c r="H78" s="203">
        <f>+H28</f>
        <v>0.10230390703184535</v>
      </c>
      <c r="I78" s="1"/>
      <c r="J78" s="1">
        <f t="shared" si="3"/>
        <v>3625959.4230078352</v>
      </c>
      <c r="K78" s="1"/>
      <c r="L78" s="197"/>
      <c r="M78" s="197"/>
      <c r="N78" s="197"/>
      <c r="O78" s="175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</row>
    <row r="79" spans="1:40">
      <c r="A79" s="9">
        <f t="shared" si="4"/>
        <v>52</v>
      </c>
      <c r="B79" s="3"/>
      <c r="C79" s="91" t="s">
        <v>46</v>
      </c>
      <c r="D79" s="1" t="s">
        <v>135</v>
      </c>
      <c r="E79" s="267">
        <v>723765</v>
      </c>
      <c r="F79" s="1"/>
      <c r="G79" s="1" t="s">
        <v>218</v>
      </c>
      <c r="H79" s="203">
        <v>1</v>
      </c>
      <c r="I79" s="1"/>
      <c r="J79" s="1">
        <f t="shared" si="3"/>
        <v>723765</v>
      </c>
      <c r="K79" s="1"/>
      <c r="L79" s="197"/>
      <c r="M79" s="197"/>
      <c r="N79" s="197"/>
      <c r="O79" s="175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</row>
    <row r="80" spans="1:40">
      <c r="A80" s="9">
        <f t="shared" si="4"/>
        <v>53</v>
      </c>
      <c r="B80" s="3"/>
      <c r="C80" s="91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03">
        <f>H78</f>
        <v>0.10230390703184535</v>
      </c>
      <c r="I80" s="1"/>
      <c r="J80" s="1">
        <f t="shared" si="3"/>
        <v>23243.447677635264</v>
      </c>
      <c r="K80" s="1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</row>
    <row r="81" spans="1:40">
      <c r="A81" s="9">
        <f t="shared" si="4"/>
        <v>54</v>
      </c>
      <c r="B81" s="3"/>
      <c r="C81" s="91" t="s">
        <v>294</v>
      </c>
      <c r="D81" s="1" t="s">
        <v>169</v>
      </c>
      <c r="E81" s="1">
        <v>95973</v>
      </c>
      <c r="F81" s="1"/>
      <c r="G81" s="1" t="str">
        <f>+G80</f>
        <v>W/S</v>
      </c>
      <c r="H81" s="203">
        <f>+H80</f>
        <v>0.10230390703184535</v>
      </c>
      <c r="I81" s="1"/>
      <c r="J81" s="1">
        <f t="shared" si="3"/>
        <v>9818.4128695672935</v>
      </c>
      <c r="K81" s="1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</row>
    <row r="82" spans="1:40">
      <c r="A82" s="9">
        <f t="shared" si="4"/>
        <v>55</v>
      </c>
      <c r="B82" s="3"/>
      <c r="C82" s="91" t="s">
        <v>48</v>
      </c>
      <c r="D82" s="1"/>
      <c r="E82" s="267">
        <v>2220385</v>
      </c>
      <c r="F82" s="1"/>
      <c r="G82" s="1" t="str">
        <f>G78</f>
        <v>W/S</v>
      </c>
      <c r="H82" s="203">
        <f>H78</f>
        <v>0.10230390703184535</v>
      </c>
      <c r="I82" s="1"/>
      <c r="J82" s="1">
        <f t="shared" si="3"/>
        <v>227154.06061490392</v>
      </c>
      <c r="K82" s="1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</row>
    <row r="83" spans="1:40">
      <c r="A83" s="9">
        <f t="shared" si="4"/>
        <v>56</v>
      </c>
      <c r="B83" s="3"/>
      <c r="C83" s="91" t="s">
        <v>47</v>
      </c>
      <c r="D83" s="1"/>
      <c r="E83" s="1"/>
      <c r="F83" s="1"/>
      <c r="G83" s="217" t="str">
        <f>+G76</f>
        <v>TP</v>
      </c>
      <c r="H83" s="203">
        <f>+H76</f>
        <v>0.86592599999999997</v>
      </c>
      <c r="I83" s="1"/>
      <c r="J83" s="1">
        <f>+H83*E83</f>
        <v>0</v>
      </c>
      <c r="K83" s="1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</row>
    <row r="84" spans="1:40" ht="15.75" thickBot="1">
      <c r="A84" s="9">
        <f t="shared" si="4"/>
        <v>57</v>
      </c>
      <c r="B84" s="3"/>
      <c r="C84" s="91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03">
        <f>+H31</f>
        <v>0</v>
      </c>
      <c r="I84" s="1"/>
      <c r="J84" s="4">
        <f t="shared" si="3"/>
        <v>0</v>
      </c>
      <c r="K84" s="1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</row>
    <row r="85" spans="1:40">
      <c r="A85" s="9">
        <f t="shared" si="4"/>
        <v>58</v>
      </c>
      <c r="B85" s="3"/>
      <c r="C85" s="91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35318820</v>
      </c>
      <c r="F85" s="1"/>
      <c r="G85" s="1"/>
      <c r="H85" s="1"/>
      <c r="I85" s="1"/>
      <c r="J85" s="1">
        <f>+J76-J77+J78-J79-J82+J84+J83+J80-J81</f>
        <v>5016700.5496989982</v>
      </c>
      <c r="K85" s="1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</row>
    <row r="87" spans="1:40">
      <c r="A87" s="9">
        <f t="shared" si="4"/>
        <v>60</v>
      </c>
      <c r="B87" s="3"/>
      <c r="C87" s="91" t="s">
        <v>173</v>
      </c>
      <c r="D87" s="1"/>
      <c r="E87" s="1"/>
      <c r="F87" s="1"/>
      <c r="G87" s="1"/>
      <c r="H87" s="1"/>
      <c r="I87" s="1"/>
      <c r="J87" s="1"/>
      <c r="K87" s="1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</row>
    <row r="88" spans="1:40">
      <c r="A88" s="9">
        <f t="shared" si="4"/>
        <v>61</v>
      </c>
      <c r="B88" s="3"/>
      <c r="C88" s="91" t="str">
        <f>+C16</f>
        <v xml:space="preserve">  Transmission</v>
      </c>
      <c r="D88" s="1" t="s">
        <v>435</v>
      </c>
      <c r="E88" s="1">
        <f>E16*'BHP WP5 Depreciation Rates'!H17</f>
        <v>6335011.775555077</v>
      </c>
      <c r="F88" s="1"/>
      <c r="G88" s="1" t="s">
        <v>200</v>
      </c>
      <c r="H88" s="203">
        <f>+J143</f>
        <v>0.86592599999999997</v>
      </c>
      <c r="I88" s="1"/>
      <c r="J88" s="1">
        <f>+H88*E88</f>
        <v>5485651.4067593059</v>
      </c>
      <c r="K88" s="1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</row>
    <row r="89" spans="1:40">
      <c r="A89" s="9">
        <f t="shared" si="4"/>
        <v>62</v>
      </c>
      <c r="B89" s="3"/>
      <c r="C89" s="91" t="s">
        <v>295</v>
      </c>
      <c r="D89" s="1" t="s">
        <v>436</v>
      </c>
      <c r="E89" s="1">
        <f>(E18+E20)*'BHP WP5 Depreciation Rates'!H31</f>
        <v>4669374.8611388467</v>
      </c>
      <c r="F89" s="1"/>
      <c r="G89" s="1" t="s">
        <v>218</v>
      </c>
      <c r="H89" s="203">
        <f>H78</f>
        <v>0.10230390703184535</v>
      </c>
      <c r="I89" s="1"/>
      <c r="J89" s="1">
        <f>+H89*E89</f>
        <v>477695.29169078433</v>
      </c>
      <c r="K89" s="1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</row>
    <row r="90" spans="1:40" ht="15.75" thickBot="1">
      <c r="A90" s="9">
        <f t="shared" si="4"/>
        <v>63</v>
      </c>
      <c r="B90" s="3"/>
      <c r="C90" s="91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03">
        <f>+H84</f>
        <v>0</v>
      </c>
      <c r="I90" s="1"/>
      <c r="J90" s="4">
        <f>+H90*E90</f>
        <v>0</v>
      </c>
      <c r="K90" s="1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</row>
    <row r="91" spans="1:40">
      <c r="A91" s="9">
        <f t="shared" si="4"/>
        <v>64</v>
      </c>
      <c r="B91" s="3"/>
      <c r="C91" s="91" t="str">
        <f>"TOTAL DEPRECIATION (Sum lines "&amp;A88&amp;" - "&amp;A90&amp;")"</f>
        <v>TOTAL DEPRECIATION (Sum lines 61 - 63)</v>
      </c>
      <c r="D91" s="1"/>
      <c r="E91" s="1">
        <f>SUM(E88:E90)</f>
        <v>11004386.636693925</v>
      </c>
      <c r="F91" s="1"/>
      <c r="G91" s="1"/>
      <c r="H91" s="1"/>
      <c r="I91" s="1"/>
      <c r="J91" s="1">
        <f>SUM(J88:J90)</f>
        <v>5963346.6984500904</v>
      </c>
      <c r="K91" s="1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</row>
    <row r="92" spans="1:40">
      <c r="A92" s="9">
        <f t="shared" si="4"/>
        <v>65</v>
      </c>
      <c r="B92" s="3"/>
      <c r="C92" s="91"/>
      <c r="D92" s="1"/>
      <c r="E92" s="1"/>
      <c r="F92" s="1"/>
      <c r="G92" s="1"/>
      <c r="H92" s="1"/>
      <c r="I92" s="1"/>
      <c r="J92" s="1"/>
      <c r="K92" s="1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</row>
    <row r="93" spans="1:40">
      <c r="A93" s="9">
        <f t="shared" si="4"/>
        <v>66</v>
      </c>
      <c r="B93" s="3"/>
      <c r="C93" s="91" t="s">
        <v>89</v>
      </c>
      <c r="D93" s="3"/>
      <c r="E93" s="1"/>
      <c r="F93" s="1"/>
      <c r="G93" s="1"/>
      <c r="H93" s="1"/>
      <c r="I93" s="1"/>
      <c r="J93" s="1"/>
      <c r="K93" s="1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</row>
    <row r="94" spans="1:40">
      <c r="A94" s="9">
        <f t="shared" si="4"/>
        <v>67</v>
      </c>
      <c r="B94" s="3"/>
      <c r="C94" s="91" t="s">
        <v>235</v>
      </c>
      <c r="D94" s="3"/>
      <c r="E94" s="88"/>
      <c r="F94" s="1"/>
      <c r="G94" s="1"/>
      <c r="H94" s="3"/>
      <c r="I94" s="1"/>
      <c r="J94" s="3"/>
      <c r="K94" s="1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</row>
    <row r="95" spans="1:40">
      <c r="A95" s="9">
        <f t="shared" si="4"/>
        <v>68</v>
      </c>
      <c r="B95" s="3"/>
      <c r="C95" s="91" t="s">
        <v>236</v>
      </c>
      <c r="D95" s="1" t="s">
        <v>437</v>
      </c>
      <c r="E95" s="267">
        <f>28949+1757359+52334</f>
        <v>1838642</v>
      </c>
      <c r="F95" s="1"/>
      <c r="G95" s="1" t="s">
        <v>218</v>
      </c>
      <c r="H95" s="218">
        <f>+J175</f>
        <v>0.10230390703184535</v>
      </c>
      <c r="I95" s="1"/>
      <c r="J95" s="1">
        <f>+H95*E95</f>
        <v>188100.26023284619</v>
      </c>
      <c r="K95" s="1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</row>
    <row r="96" spans="1:40">
      <c r="A96" s="9">
        <f t="shared" si="4"/>
        <v>69</v>
      </c>
      <c r="B96" s="3"/>
      <c r="C96" s="91" t="s">
        <v>237</v>
      </c>
      <c r="D96" s="1" t="s">
        <v>75</v>
      </c>
      <c r="E96" s="1">
        <v>0</v>
      </c>
      <c r="F96" s="1"/>
      <c r="G96" s="1" t="str">
        <f>+G95</f>
        <v>W/S</v>
      </c>
      <c r="H96" s="218">
        <f>+H95</f>
        <v>0.10230390703184535</v>
      </c>
      <c r="I96" s="1"/>
      <c r="J96" s="1">
        <f>+H96*E96</f>
        <v>0</v>
      </c>
      <c r="K96" s="1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</row>
    <row r="97" spans="1:40">
      <c r="A97" s="9">
        <f t="shared" si="4"/>
        <v>70</v>
      </c>
      <c r="B97" s="3"/>
      <c r="C97" s="91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</row>
    <row r="98" spans="1:40">
      <c r="A98" s="9">
        <f t="shared" si="4"/>
        <v>71</v>
      </c>
      <c r="B98" s="3"/>
      <c r="C98" s="91" t="s">
        <v>239</v>
      </c>
      <c r="D98" s="1" t="s">
        <v>438</v>
      </c>
      <c r="E98" s="267">
        <v>8906261</v>
      </c>
      <c r="F98" s="1"/>
      <c r="G98" s="1" t="s">
        <v>231</v>
      </c>
      <c r="H98" s="218">
        <f>+H22</f>
        <v>0.15797766523939982</v>
      </c>
      <c r="I98" s="1"/>
      <c r="J98" s="1">
        <f>+H98*E98</f>
        <v>1406990.3187927222</v>
      </c>
      <c r="K98" s="1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</row>
    <row r="99" spans="1:40">
      <c r="A99" s="9">
        <f t="shared" si="4"/>
        <v>72</v>
      </c>
      <c r="B99" s="3"/>
      <c r="C99" s="91" t="s">
        <v>240</v>
      </c>
      <c r="D99" s="1" t="s">
        <v>75</v>
      </c>
      <c r="E99" s="1">
        <v>0</v>
      </c>
      <c r="F99" s="1"/>
      <c r="G99" s="1" t="str">
        <f>+G45</f>
        <v>NA</v>
      </c>
      <c r="H99" s="219" t="s">
        <v>290</v>
      </c>
      <c r="I99" s="1"/>
      <c r="J99" s="1">
        <v>0</v>
      </c>
      <c r="K99" s="1"/>
      <c r="L99" s="175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</row>
    <row r="100" spans="1:40" ht="15.75" thickBot="1">
      <c r="A100" s="9">
        <f t="shared" si="4"/>
        <v>73</v>
      </c>
      <c r="B100" s="3"/>
      <c r="C100" s="91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18">
        <f>+H98</f>
        <v>0.15797766523939982</v>
      </c>
      <c r="I100" s="1"/>
      <c r="J100" s="4">
        <f>+H100*E100</f>
        <v>0</v>
      </c>
      <c r="K100" s="1"/>
      <c r="L100" s="175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</row>
    <row r="101" spans="1:40">
      <c r="A101" s="9">
        <f t="shared" si="4"/>
        <v>74</v>
      </c>
      <c r="B101" s="3"/>
      <c r="C101" s="91" t="str">
        <f>"TOTAL OTHER TAXES  (sum lines "&amp;A95&amp;" - "&amp;A100&amp;")"</f>
        <v>TOTAL OTHER TAXES  (sum lines 68 - 73)</v>
      </c>
      <c r="D101" s="1"/>
      <c r="E101" s="1">
        <f>SUM(E95:E100)</f>
        <v>10744903</v>
      </c>
      <c r="F101" s="1"/>
      <c r="G101" s="1"/>
      <c r="H101" s="218"/>
      <c r="I101" s="1"/>
      <c r="J101" s="1">
        <f>SUM(J95:J100)</f>
        <v>1595090.5790255684</v>
      </c>
      <c r="K101" s="1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</row>
    <row r="102" spans="1:40">
      <c r="A102" s="9">
        <f t="shared" si="4"/>
        <v>75</v>
      </c>
      <c r="B102" s="3"/>
      <c r="C102" s="91"/>
      <c r="D102" s="1"/>
      <c r="E102" s="1"/>
      <c r="F102" s="1"/>
      <c r="G102" s="1"/>
      <c r="H102" s="218"/>
      <c r="I102" s="1"/>
      <c r="J102" s="1"/>
      <c r="K102" s="1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</row>
    <row r="103" spans="1:40">
      <c r="A103" s="9">
        <f t="shared" si="4"/>
        <v>76</v>
      </c>
      <c r="B103" s="3"/>
      <c r="C103" s="91"/>
      <c r="D103" s="1"/>
      <c r="E103" s="1"/>
      <c r="F103" s="1"/>
      <c r="G103" s="1"/>
      <c r="H103" s="218"/>
      <c r="I103" s="1"/>
      <c r="J103" s="1"/>
      <c r="K103" s="1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</row>
    <row r="104" spans="1:40">
      <c r="A104" s="9">
        <f t="shared" si="4"/>
        <v>77</v>
      </c>
      <c r="B104" s="3"/>
      <c r="C104" s="91" t="s">
        <v>242</v>
      </c>
      <c r="D104" s="1" t="s">
        <v>88</v>
      </c>
      <c r="E104" s="1"/>
      <c r="F104" s="1"/>
      <c r="G104" s="3"/>
      <c r="H104" s="220"/>
      <c r="I104" s="1"/>
      <c r="J104" s="3"/>
      <c r="K104" s="1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</row>
    <row r="105" spans="1:40">
      <c r="A105" s="9">
        <f t="shared" si="4"/>
        <v>78</v>
      </c>
      <c r="B105" s="3"/>
      <c r="C105" s="221" t="s">
        <v>286</v>
      </c>
      <c r="D105" s="1"/>
      <c r="E105" s="222">
        <f>IF(E232&gt;0,1-(((1-E233)*(1-E232))/(1-E233*E232*E234)),0)</f>
        <v>0.20999999999999996</v>
      </c>
      <c r="F105" s="1"/>
      <c r="G105" s="3"/>
      <c r="H105" s="220"/>
      <c r="I105" s="1"/>
      <c r="J105" s="3"/>
      <c r="K105" s="1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</row>
    <row r="106" spans="1:40">
      <c r="A106" s="9">
        <f t="shared" si="4"/>
        <v>79</v>
      </c>
      <c r="B106" s="3"/>
      <c r="C106" s="3" t="s">
        <v>287</v>
      </c>
      <c r="D106" s="1"/>
      <c r="E106" s="222">
        <f>IF(J199&gt;0,(E105/(1-E105))*(1-J196/J199),0)</f>
        <v>0.18676708340878057</v>
      </c>
      <c r="F106" s="1"/>
      <c r="G106" s="3"/>
      <c r="H106" s="220"/>
      <c r="I106" s="1"/>
      <c r="J106" s="3"/>
      <c r="K106" s="1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</row>
    <row r="107" spans="1:40">
      <c r="A107" s="9">
        <f t="shared" si="4"/>
        <v>80</v>
      </c>
      <c r="B107" s="3"/>
      <c r="C107" s="91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20"/>
      <c r="I107" s="1"/>
      <c r="J107" s="3"/>
      <c r="K107" s="1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</row>
    <row r="108" spans="1:40">
      <c r="A108" s="9">
        <f t="shared" si="4"/>
        <v>81</v>
      </c>
      <c r="B108" s="3"/>
      <c r="C108" s="91" t="s">
        <v>90</v>
      </c>
      <c r="D108" s="1"/>
      <c r="E108" s="1"/>
      <c r="F108" s="1"/>
      <c r="G108" s="3"/>
      <c r="H108" s="220"/>
      <c r="I108" s="1"/>
      <c r="J108" s="3"/>
      <c r="K108" s="1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</row>
    <row r="109" spans="1:40">
      <c r="A109" s="9">
        <f t="shared" si="4"/>
        <v>82</v>
      </c>
      <c r="B109" s="3"/>
      <c r="C109" s="221"/>
      <c r="D109" s="1"/>
      <c r="E109" s="223"/>
      <c r="F109" s="1"/>
      <c r="G109" s="3"/>
      <c r="H109" s="220"/>
      <c r="I109" s="1"/>
      <c r="J109" s="3"/>
      <c r="K109" s="1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</row>
    <row r="110" spans="1:40">
      <c r="A110" s="9">
        <f t="shared" si="4"/>
        <v>83</v>
      </c>
      <c r="B110" s="3"/>
      <c r="C110" s="224" t="s">
        <v>276</v>
      </c>
      <c r="D110" s="3" t="str">
        <f>"(line "&amp;A106&amp;" * line "&amp;A113&amp;")"</f>
        <v>(line 79 * line 86)</v>
      </c>
      <c r="E110" s="80"/>
      <c r="F110" s="1"/>
      <c r="G110" s="1" t="s">
        <v>194</v>
      </c>
      <c r="H110" s="218" t="s">
        <v>194</v>
      </c>
      <c r="I110" s="1"/>
      <c r="J110" s="1">
        <f>E106*J112</f>
        <v>2721151.3284921441</v>
      </c>
      <c r="K110" s="1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</row>
    <row r="111" spans="1:40">
      <c r="A111" s="9">
        <f t="shared" si="4"/>
        <v>84</v>
      </c>
      <c r="B111" s="3"/>
      <c r="C111" s="225"/>
      <c r="D111" s="226"/>
      <c r="E111" s="1"/>
      <c r="F111" s="1"/>
      <c r="G111" s="1"/>
      <c r="H111" s="218"/>
      <c r="I111" s="1"/>
      <c r="J111" s="1"/>
      <c r="K111" s="1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</row>
    <row r="112" spans="1:40">
      <c r="A112" s="9">
        <f t="shared" si="4"/>
        <v>85</v>
      </c>
      <c r="B112" s="3"/>
      <c r="C112" s="91" t="s">
        <v>243</v>
      </c>
      <c r="D112" s="205"/>
      <c r="E112" s="1"/>
      <c r="F112" s="1"/>
      <c r="G112" s="1" t="s">
        <v>91</v>
      </c>
      <c r="H112" s="220"/>
      <c r="I112" s="1"/>
      <c r="J112" s="1">
        <f>+$J199*J62</f>
        <v>14569758.647118293</v>
      </c>
      <c r="K112" s="1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</row>
    <row r="113" spans="1:40" ht="17.25" customHeight="1">
      <c r="A113" s="9">
        <f t="shared" si="4"/>
        <v>86</v>
      </c>
      <c r="B113" s="3"/>
      <c r="C113" s="224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20"/>
      <c r="I113" s="1"/>
      <c r="J113" s="1"/>
      <c r="K113" s="1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</row>
    <row r="114" spans="1:40">
      <c r="A114" s="9">
        <f t="shared" si="4"/>
        <v>87</v>
      </c>
      <c r="B114" s="3"/>
      <c r="C114" s="91"/>
      <c r="D114" s="3"/>
      <c r="E114" s="211"/>
      <c r="F114" s="1"/>
      <c r="G114" s="1"/>
      <c r="H114" s="220"/>
      <c r="I114" s="1"/>
      <c r="J114" s="211"/>
      <c r="K114" s="1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</row>
    <row r="115" spans="1:40" ht="15.75" thickBot="1">
      <c r="A115" s="9">
        <f t="shared" si="4"/>
        <v>88</v>
      </c>
      <c r="B115" s="3"/>
      <c r="C115" s="91" t="str">
        <f>"REVENUE REQUIREMENT  (sum lines "&amp;A85&amp;", "&amp;A91&amp;", "&amp;A101&amp;", "&amp;A110&amp;", "&amp;A112&amp;")"</f>
        <v>REVENUE REQUIREMENT  (sum lines 58, 64, 74, 83, 85)</v>
      </c>
      <c r="D115" s="1"/>
      <c r="E115" s="227">
        <f>E110+E101+E91+E85</f>
        <v>57068109.636693925</v>
      </c>
      <c r="F115" s="1"/>
      <c r="G115" s="1"/>
      <c r="H115" s="1"/>
      <c r="I115" s="1"/>
      <c r="J115" s="89">
        <f>J110+J101+J91+J85+J112</f>
        <v>29866047.802785095</v>
      </c>
      <c r="K115" s="72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</row>
    <row r="117" spans="1:40">
      <c r="A117" s="9">
        <f t="shared" si="4"/>
        <v>90</v>
      </c>
      <c r="B117" s="3"/>
      <c r="C117" s="91" t="s">
        <v>433</v>
      </c>
      <c r="D117" s="3"/>
      <c r="E117" s="3"/>
      <c r="F117" s="3"/>
      <c r="G117" s="3"/>
      <c r="H117" s="3"/>
      <c r="I117" s="3"/>
      <c r="J117" s="208">
        <v>29998618.263233084</v>
      </c>
      <c r="K117" s="1"/>
      <c r="L117" s="175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27">
        <f>+J115-J117</f>
        <v>-132570.4604479894</v>
      </c>
      <c r="K119" s="1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</row>
    <row r="122" spans="1:40">
      <c r="A122" s="9"/>
      <c r="B122" s="3"/>
      <c r="C122" s="3"/>
      <c r="D122" s="3"/>
      <c r="E122" s="3"/>
      <c r="F122" s="3"/>
      <c r="G122" s="3"/>
      <c r="H122" s="3"/>
      <c r="I122" s="163" t="s">
        <v>417</v>
      </c>
      <c r="J122" s="228">
        <f>J1</f>
        <v>45077</v>
      </c>
      <c r="K122" s="1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</row>
    <row r="123" spans="1:40">
      <c r="A123" s="9"/>
      <c r="B123" s="3"/>
      <c r="C123" s="3"/>
      <c r="D123" s="3"/>
      <c r="E123" s="3"/>
      <c r="F123" s="3"/>
      <c r="G123" s="3"/>
      <c r="I123" s="163" t="str">
        <f>$I$2</f>
        <v>Service Year</v>
      </c>
      <c r="J123" s="72">
        <f>$J$2</f>
        <v>2022</v>
      </c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</row>
    <row r="125" spans="1:40" ht="15.75">
      <c r="A125" s="324" t="s">
        <v>321</v>
      </c>
      <c r="B125" s="324"/>
      <c r="C125" s="324"/>
      <c r="D125" s="324"/>
      <c r="E125" s="324"/>
      <c r="F125" s="324"/>
      <c r="G125" s="324"/>
      <c r="H125" s="324"/>
      <c r="I125" s="324"/>
      <c r="J125" s="324"/>
      <c r="K125" s="324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</row>
    <row r="126" spans="1:40" ht="15.75">
      <c r="A126" s="325" t="s">
        <v>195</v>
      </c>
      <c r="B126" s="325"/>
      <c r="C126" s="325"/>
      <c r="D126" s="325"/>
      <c r="E126" s="325"/>
      <c r="F126" s="325"/>
      <c r="G126" s="325"/>
      <c r="H126" s="325"/>
      <c r="I126" s="325"/>
      <c r="J126" s="325"/>
      <c r="K126" s="325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</row>
    <row r="127" spans="1:40">
      <c r="A127" s="3"/>
      <c r="B127" s="3"/>
      <c r="C127" s="72"/>
      <c r="D127" s="72"/>
      <c r="F127" s="72"/>
      <c r="G127" s="72"/>
      <c r="H127" s="72"/>
      <c r="I127" s="72"/>
      <c r="J127" s="72"/>
      <c r="K127" s="72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</row>
    <row r="128" spans="1:40" ht="15.75">
      <c r="A128" s="326" t="s">
        <v>320</v>
      </c>
      <c r="B128" s="326"/>
      <c r="C128" s="326"/>
      <c r="D128" s="326"/>
      <c r="E128" s="326"/>
      <c r="F128" s="326"/>
      <c r="G128" s="326"/>
      <c r="H128" s="326"/>
      <c r="I128" s="326"/>
      <c r="J128" s="326"/>
      <c r="K128" s="326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</row>
    <row r="129" spans="1:40">
      <c r="A129" s="9"/>
      <c r="B129" s="3"/>
      <c r="C129" s="3"/>
      <c r="D129" s="91"/>
      <c r="E129" s="91"/>
      <c r="F129" s="91"/>
      <c r="G129" s="91"/>
      <c r="H129" s="91"/>
      <c r="I129" s="91"/>
      <c r="J129" s="91"/>
      <c r="K129" s="91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</row>
    <row r="130" spans="1:40" ht="15.75">
      <c r="A130" s="327" t="s">
        <v>3</v>
      </c>
      <c r="B130" s="327"/>
      <c r="C130" s="327"/>
      <c r="D130" s="327"/>
      <c r="E130" s="327"/>
      <c r="F130" s="327"/>
      <c r="G130" s="327"/>
      <c r="H130" s="327"/>
      <c r="I130" s="327"/>
      <c r="J130" s="327"/>
      <c r="K130" s="32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</row>
    <row r="131" spans="1:40" ht="15.75">
      <c r="A131" s="9"/>
      <c r="B131" s="3"/>
      <c r="C131" s="173"/>
      <c r="D131" s="72"/>
      <c r="E131" s="72"/>
      <c r="F131" s="72"/>
      <c r="G131" s="72"/>
      <c r="H131" s="72"/>
      <c r="I131" s="72"/>
      <c r="J131" s="72"/>
      <c r="K131" s="1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</row>
    <row r="132" spans="1:40" ht="15.75">
      <c r="A132" s="9" t="s">
        <v>196</v>
      </c>
      <c r="B132" s="3"/>
      <c r="C132" s="173"/>
      <c r="D132" s="72"/>
      <c r="E132" s="72"/>
      <c r="F132" s="72"/>
      <c r="G132" s="72"/>
      <c r="H132" s="72"/>
      <c r="I132" s="72"/>
      <c r="J132" s="72"/>
      <c r="K132" s="1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</row>
    <row r="133" spans="1:40" ht="15.75" thickBot="1">
      <c r="A133" s="172" t="s">
        <v>197</v>
      </c>
      <c r="B133" s="3"/>
      <c r="C133" s="90" t="s">
        <v>117</v>
      </c>
      <c r="D133" s="72"/>
      <c r="E133" s="72"/>
      <c r="F133" s="72"/>
      <c r="G133" s="72"/>
      <c r="H133" s="72"/>
      <c r="I133" s="3"/>
      <c r="J133" s="3"/>
      <c r="K133" s="1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</row>
    <row r="134" spans="1:40" ht="15.75" thickBot="1">
      <c r="A134" s="9"/>
      <c r="B134" s="3"/>
      <c r="C134" s="90"/>
      <c r="D134" s="72"/>
      <c r="E134" s="4" t="s">
        <v>0</v>
      </c>
      <c r="F134" s="72"/>
      <c r="G134" s="72"/>
      <c r="H134" s="72"/>
      <c r="I134" s="72"/>
      <c r="J134" s="72"/>
      <c r="K134" s="1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</row>
    <row r="135" spans="1:40" ht="16.5" customHeight="1">
      <c r="A135" s="9">
        <f>+A119+1</f>
        <v>93</v>
      </c>
      <c r="B135" s="3"/>
      <c r="C135" s="2" t="s">
        <v>105</v>
      </c>
      <c r="D135" s="72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273060852.39461541</v>
      </c>
      <c r="K135" s="1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267">
        <v>38081573.628699988</v>
      </c>
      <c r="K136" s="1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</row>
    <row r="137" spans="1:40" ht="15.75" thickBot="1">
      <c r="A137" s="9">
        <f t="shared" ref="A137:A199" si="5">+A136+1</f>
        <v>95</v>
      </c>
      <c r="B137" s="3"/>
      <c r="C137" s="229" t="s">
        <v>87</v>
      </c>
      <c r="D137" s="230"/>
      <c r="E137" s="4" t="s">
        <v>170</v>
      </c>
      <c r="F137" s="1"/>
      <c r="G137" s="1"/>
      <c r="H137" s="174"/>
      <c r="I137" s="1"/>
      <c r="J137" s="4">
        <v>0</v>
      </c>
      <c r="K137" s="1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2"/>
      <c r="E138" s="1"/>
      <c r="F138" s="1"/>
      <c r="G138" s="1"/>
      <c r="H138" s="174"/>
      <c r="I138" s="1"/>
      <c r="J138" s="1">
        <f>J135-J136-J137</f>
        <v>234979278.76591542</v>
      </c>
      <c r="K138" s="1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2"/>
      <c r="E139" s="1"/>
      <c r="F139" s="1"/>
      <c r="G139" s="1"/>
      <c r="H139" s="174"/>
      <c r="I139" s="1"/>
      <c r="J139" s="1">
        <f>+J149</f>
        <v>10972221.039999999</v>
      </c>
      <c r="K139" s="1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2"/>
      <c r="E140" s="1"/>
      <c r="F140" s="1"/>
      <c r="G140" s="1"/>
      <c r="H140" s="174"/>
      <c r="I140" s="1"/>
      <c r="J140" s="231">
        <f>SUM(J138:J139)</f>
        <v>245951499.80591542</v>
      </c>
      <c r="K140" s="1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2"/>
      <c r="E141" s="1"/>
      <c r="F141" s="1"/>
      <c r="G141" s="1"/>
      <c r="H141" s="174"/>
      <c r="I141" s="1"/>
      <c r="J141" s="211">
        <f>+J135+J149</f>
        <v>284033073.43461543</v>
      </c>
      <c r="K141" s="1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</row>
    <row r="142" spans="1:40">
      <c r="A142" s="9">
        <f t="shared" si="5"/>
        <v>100</v>
      </c>
      <c r="B142" s="3"/>
      <c r="C142" s="3"/>
      <c r="D142" s="72"/>
      <c r="E142" s="1"/>
      <c r="F142" s="1"/>
      <c r="G142" s="1"/>
      <c r="H142" s="174"/>
      <c r="I142" s="1"/>
      <c r="J142" s="3"/>
      <c r="K142" s="1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67"/>
      <c r="E143" s="232"/>
      <c r="F143" s="232"/>
      <c r="G143" s="232"/>
      <c r="H143" s="199"/>
      <c r="I143" s="1" t="s">
        <v>244</v>
      </c>
      <c r="J143" s="233">
        <f>ROUND(IF(J141&gt;0,J140/J141,0),6)</f>
        <v>0.86592599999999997</v>
      </c>
      <c r="K143" s="1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</row>
    <row r="145" spans="1:40" ht="15.75" thickBot="1">
      <c r="A145" s="9">
        <f t="shared" si="5"/>
        <v>103</v>
      </c>
      <c r="B145" s="3"/>
      <c r="C145" s="90" t="s">
        <v>103</v>
      </c>
      <c r="D145" s="72"/>
      <c r="E145" s="4" t="s">
        <v>0</v>
      </c>
      <c r="F145" s="72"/>
      <c r="G145" s="72"/>
      <c r="H145" s="72"/>
      <c r="I145" s="72"/>
      <c r="J145" s="72"/>
      <c r="K145" s="3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</row>
    <row r="146" spans="1:40">
      <c r="A146" s="9">
        <f t="shared" si="5"/>
        <v>104</v>
      </c>
      <c r="B146" s="3"/>
      <c r="C146" s="2" t="s">
        <v>104</v>
      </c>
      <c r="D146" s="72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502352636.27692306</v>
      </c>
      <c r="K146" s="3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491380415.23692304</v>
      </c>
      <c r="K147" s="3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</row>
    <row r="148" spans="1:40" ht="15.75" thickBot="1">
      <c r="A148" s="9">
        <f t="shared" si="5"/>
        <v>106</v>
      </c>
      <c r="B148" s="3"/>
      <c r="C148" s="229" t="s">
        <v>108</v>
      </c>
      <c r="D148" s="230"/>
      <c r="E148" s="4" t="s">
        <v>170</v>
      </c>
      <c r="F148" s="1"/>
      <c r="G148" s="1"/>
      <c r="H148" s="174"/>
      <c r="I148" s="1"/>
      <c r="J148" s="4">
        <v>0</v>
      </c>
      <c r="K148" s="3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2"/>
      <c r="E149" s="1"/>
      <c r="F149" s="1"/>
      <c r="G149" s="1"/>
      <c r="H149" s="174"/>
      <c r="I149" s="1"/>
      <c r="J149" s="267">
        <v>10972221.039999999</v>
      </c>
      <c r="K149" s="3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</row>
    <row r="150" spans="1:40">
      <c r="A150" s="9">
        <f t="shared" si="5"/>
        <v>108</v>
      </c>
      <c r="B150" s="3"/>
      <c r="C150" s="3"/>
      <c r="D150" s="72"/>
      <c r="E150" s="1"/>
      <c r="F150" s="1"/>
      <c r="G150" s="1"/>
      <c r="H150" s="174"/>
      <c r="I150" s="1"/>
      <c r="J150" s="3"/>
      <c r="K150" s="3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67"/>
      <c r="E151" s="232"/>
      <c r="F151" s="232"/>
      <c r="G151" s="232"/>
      <c r="H151" s="199"/>
      <c r="I151" s="1" t="s">
        <v>106</v>
      </c>
      <c r="J151" s="233">
        <f>ROUND(IF(J146&gt;0,J149/J146,0),6)</f>
        <v>2.1842E-2</v>
      </c>
      <c r="K151" s="3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</row>
    <row r="152" spans="1:40">
      <c r="A152" s="9">
        <f t="shared" si="5"/>
        <v>110</v>
      </c>
      <c r="B152" s="3"/>
      <c r="C152" s="3"/>
      <c r="D152" s="72"/>
      <c r="E152" s="1"/>
      <c r="F152" s="1"/>
      <c r="G152" s="1"/>
      <c r="H152" s="174"/>
      <c r="I152" s="1"/>
      <c r="J152" s="3"/>
      <c r="K152" s="3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</row>
    <row r="153" spans="1:40" ht="15.75" thickBot="1">
      <c r="A153" s="9">
        <f t="shared" si="5"/>
        <v>111</v>
      </c>
      <c r="B153" s="3"/>
      <c r="C153" s="90" t="s">
        <v>222</v>
      </c>
      <c r="D153" s="72"/>
      <c r="E153" s="4" t="s">
        <v>0</v>
      </c>
      <c r="F153" s="1"/>
      <c r="G153" s="1"/>
      <c r="H153" s="174"/>
      <c r="I153" s="1"/>
      <c r="J153" s="1"/>
      <c r="K153" s="3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</row>
    <row r="154" spans="1:40">
      <c r="A154" s="9">
        <f t="shared" si="5"/>
        <v>112</v>
      </c>
      <c r="B154" s="3"/>
      <c r="C154" s="3" t="s">
        <v>78</v>
      </c>
      <c r="D154" s="72"/>
      <c r="E154" s="1" t="str">
        <f>"Column (3) line "&amp;A26&amp;""</f>
        <v>Column (3) line 12</v>
      </c>
      <c r="F154" s="1"/>
      <c r="G154" s="1"/>
      <c r="H154" s="174"/>
      <c r="I154" s="1"/>
      <c r="J154" s="1">
        <f>+E26</f>
        <v>48643724.497458525</v>
      </c>
      <c r="K154" s="3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</row>
    <row r="155" spans="1:40">
      <c r="A155" s="9">
        <f t="shared" si="5"/>
        <v>113</v>
      </c>
      <c r="B155" s="3"/>
      <c r="C155" s="2" t="s">
        <v>405</v>
      </c>
      <c r="D155" s="72"/>
      <c r="E155" s="1" t="s">
        <v>170</v>
      </c>
      <c r="F155" s="1"/>
      <c r="G155" s="1"/>
      <c r="H155" s="174"/>
      <c r="I155" s="1"/>
      <c r="J155" s="268">
        <v>8236194.3846335262</v>
      </c>
      <c r="K155" s="3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</row>
    <row r="156" spans="1:40">
      <c r="A156" s="9">
        <f t="shared" si="5"/>
        <v>114</v>
      </c>
      <c r="B156" s="3"/>
      <c r="C156" s="234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35"/>
      <c r="E156" s="231"/>
      <c r="F156" s="1"/>
      <c r="G156" s="1"/>
      <c r="H156" s="174"/>
      <c r="I156" s="1"/>
      <c r="J156" s="231">
        <f>J154-J155</f>
        <v>40407530.112824999</v>
      </c>
      <c r="K156" s="3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36"/>
      <c r="E157" s="211"/>
      <c r="F157" s="1"/>
      <c r="G157" s="1"/>
      <c r="H157" s="174"/>
      <c r="I157" s="1"/>
      <c r="J157" s="211">
        <f>+J166</f>
        <v>4360262.76</v>
      </c>
      <c r="K157" s="3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36"/>
      <c r="E158" s="211"/>
      <c r="F158" s="1"/>
      <c r="G158" s="1"/>
      <c r="H158" s="174"/>
      <c r="I158" s="1"/>
      <c r="J158" s="231">
        <f>SUM(J156:J157)</f>
        <v>44767792.872824997</v>
      </c>
      <c r="K158" s="3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36"/>
      <c r="E159" s="211"/>
      <c r="F159" s="1"/>
      <c r="G159" s="1"/>
      <c r="H159" s="174"/>
      <c r="I159" s="1"/>
      <c r="J159" s="211">
        <f>+J154+J157</f>
        <v>53003987.257458523</v>
      </c>
      <c r="K159" s="3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</row>
    <row r="160" spans="1:40">
      <c r="A160" s="9">
        <f t="shared" si="5"/>
        <v>118</v>
      </c>
      <c r="B160" s="3"/>
      <c r="C160" s="3"/>
      <c r="D160" s="72"/>
      <c r="E160" s="1"/>
      <c r="F160" s="1"/>
      <c r="G160" s="1"/>
      <c r="H160" s="174"/>
      <c r="I160" s="1"/>
      <c r="J160" s="1"/>
      <c r="K160" s="3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2"/>
      <c r="E161" s="1"/>
      <c r="F161" s="1"/>
      <c r="G161" s="1"/>
      <c r="H161" s="174"/>
      <c r="I161" s="1" t="s">
        <v>79</v>
      </c>
      <c r="J161" s="233">
        <f>ROUND(IF(J159&gt;0,J158/J159,0),6)</f>
        <v>0.84461200000000003</v>
      </c>
      <c r="K161" s="3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</row>
    <row r="162" spans="1:40">
      <c r="A162" s="9">
        <f t="shared" si="5"/>
        <v>120</v>
      </c>
      <c r="B162" s="3"/>
      <c r="C162" s="3"/>
      <c r="D162" s="72"/>
      <c r="E162" s="1"/>
      <c r="F162" s="1"/>
      <c r="G162" s="1"/>
      <c r="H162" s="174"/>
      <c r="I162" s="1"/>
      <c r="J162" s="1"/>
      <c r="K162" s="3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</row>
    <row r="163" spans="1:40" ht="15.75" thickBot="1">
      <c r="A163" s="9">
        <f t="shared" si="5"/>
        <v>121</v>
      </c>
      <c r="B163" s="3"/>
      <c r="C163" s="3"/>
      <c r="D163" s="72"/>
      <c r="E163" s="4" t="s">
        <v>0</v>
      </c>
      <c r="F163" s="1"/>
      <c r="G163" s="1"/>
      <c r="H163" s="174"/>
      <c r="I163" s="1"/>
      <c r="J163" s="1"/>
      <c r="K163" s="3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</row>
    <row r="164" spans="1:40">
      <c r="A164" s="9">
        <f t="shared" si="5"/>
        <v>122</v>
      </c>
      <c r="B164" s="3"/>
      <c r="C164" s="3" t="s">
        <v>81</v>
      </c>
      <c r="D164" s="72"/>
      <c r="E164" s="1" t="str">
        <f>"Column (3) line "&amp;A27&amp;""</f>
        <v>Column (3) line 13</v>
      </c>
      <c r="F164" s="1"/>
      <c r="G164" s="1"/>
      <c r="H164" s="174"/>
      <c r="I164" s="1"/>
      <c r="J164" s="1">
        <f>+E27</f>
        <v>166355496.27058154</v>
      </c>
      <c r="K164" s="3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</row>
    <row r="165" spans="1:40">
      <c r="A165" s="9">
        <f t="shared" si="5"/>
        <v>123</v>
      </c>
      <c r="B165" s="3"/>
      <c r="C165" s="3" t="s">
        <v>171</v>
      </c>
      <c r="D165" s="72"/>
      <c r="E165" s="1"/>
      <c r="F165" s="1"/>
      <c r="G165" s="1"/>
      <c r="H165" s="174"/>
      <c r="I165" s="1"/>
      <c r="J165" s="1">
        <f>+J164-J166</f>
        <v>161995233.51058155</v>
      </c>
      <c r="K165" s="3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</row>
    <row r="166" spans="1:40">
      <c r="A166" s="9">
        <f t="shared" si="5"/>
        <v>124</v>
      </c>
      <c r="B166" s="3"/>
      <c r="C166" s="237" t="str">
        <f>"Common Use AC Facilities (line "&amp;A164&amp;" less line "&amp;A165&amp;")"</f>
        <v>Common Use AC Facilities (line 122 less line 123)</v>
      </c>
      <c r="D166" s="235"/>
      <c r="E166" s="231"/>
      <c r="F166" s="1"/>
      <c r="G166" s="1"/>
      <c r="H166" s="174"/>
      <c r="I166" s="1"/>
      <c r="J166" s="269">
        <v>4360262.76</v>
      </c>
      <c r="K166" s="3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</row>
    <row r="167" spans="1:40">
      <c r="A167" s="9">
        <f t="shared" si="5"/>
        <v>125</v>
      </c>
      <c r="B167" s="3"/>
      <c r="C167" s="3"/>
      <c r="D167" s="72"/>
      <c r="E167" s="1"/>
      <c r="F167" s="1"/>
      <c r="G167" s="1"/>
      <c r="H167" s="174"/>
      <c r="I167" s="1"/>
      <c r="J167" s="1"/>
      <c r="K167" s="3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2"/>
      <c r="E168" s="1"/>
      <c r="F168" s="1"/>
      <c r="G168" s="1"/>
      <c r="H168" s="174"/>
      <c r="I168" s="1" t="s">
        <v>82</v>
      </c>
      <c r="J168" s="233">
        <f>ROUND(IF(J164&gt;0,J166/J164,0),6)</f>
        <v>2.6211000000000002E-2</v>
      </c>
      <c r="K168" s="3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</row>
    <row r="169" spans="1:40">
      <c r="A169" s="9">
        <f t="shared" si="5"/>
        <v>127</v>
      </c>
      <c r="B169" s="3"/>
      <c r="C169" s="3"/>
      <c r="D169" s="72"/>
      <c r="E169" s="1"/>
      <c r="F169" s="1"/>
      <c r="G169" s="1"/>
      <c r="H169" s="174"/>
      <c r="I169" s="1"/>
      <c r="J169" s="1"/>
      <c r="K169" s="3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</row>
    <row r="170" spans="1:40">
      <c r="A170" s="9">
        <f t="shared" si="5"/>
        <v>128</v>
      </c>
      <c r="B170" s="3"/>
      <c r="C170" s="91" t="s">
        <v>245</v>
      </c>
      <c r="D170" s="1"/>
      <c r="E170" s="1"/>
      <c r="F170" s="1"/>
      <c r="G170" s="1"/>
      <c r="H170" s="1"/>
      <c r="I170" s="1"/>
      <c r="J170" s="1"/>
      <c r="K170" s="1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</row>
    <row r="171" spans="1:40" ht="15.75" thickBot="1">
      <c r="A171" s="9">
        <f t="shared" si="5"/>
        <v>129</v>
      </c>
      <c r="B171" s="3"/>
      <c r="C171" s="91"/>
      <c r="D171" s="4" t="s">
        <v>246</v>
      </c>
      <c r="E171" s="238" t="s">
        <v>247</v>
      </c>
      <c r="F171" s="238" t="s">
        <v>200</v>
      </c>
      <c r="G171" s="1"/>
      <c r="H171" s="238" t="s">
        <v>248</v>
      </c>
      <c r="I171" s="211"/>
      <c r="J171" s="239"/>
      <c r="K171" s="1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</row>
    <row r="172" spans="1:40">
      <c r="A172" s="9">
        <f t="shared" si="5"/>
        <v>130</v>
      </c>
      <c r="B172" s="3"/>
      <c r="C172" s="91" t="s">
        <v>215</v>
      </c>
      <c r="D172" s="1" t="s">
        <v>127</v>
      </c>
      <c r="E172" s="267">
        <v>1639510</v>
      </c>
      <c r="F172" s="240">
        <f>+J143</f>
        <v>0.86592599999999997</v>
      </c>
      <c r="G172" s="3"/>
      <c r="H172" s="1">
        <f>E172*F172</f>
        <v>1419694.33626</v>
      </c>
      <c r="I172" s="211"/>
      <c r="J172" s="241"/>
      <c r="K172" s="1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</row>
    <row r="173" spans="1:40">
      <c r="A173" s="9">
        <f t="shared" si="5"/>
        <v>131</v>
      </c>
      <c r="B173" s="3"/>
      <c r="C173" s="91" t="s">
        <v>141</v>
      </c>
      <c r="D173" s="1" t="s">
        <v>142</v>
      </c>
      <c r="E173" s="267">
        <v>27544812</v>
      </c>
      <c r="F173" s="240">
        <v>0</v>
      </c>
      <c r="G173" s="240"/>
      <c r="H173" s="1">
        <f>E173*F173</f>
        <v>0</v>
      </c>
      <c r="I173" s="211"/>
      <c r="J173" s="239" t="s">
        <v>249</v>
      </c>
      <c r="K173" s="1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</row>
    <row r="174" spans="1:40" ht="15.75" thickBot="1">
      <c r="A174" s="9">
        <f t="shared" si="5"/>
        <v>132</v>
      </c>
      <c r="B174" s="3"/>
      <c r="C174" s="91" t="s">
        <v>143</v>
      </c>
      <c r="D174" s="1" t="s">
        <v>144</v>
      </c>
      <c r="E174" s="270">
        <v>-13667587</v>
      </c>
      <c r="F174" s="240">
        <v>0</v>
      </c>
      <c r="G174" s="240"/>
      <c r="H174" s="4">
        <f>E174*F174</f>
        <v>0</v>
      </c>
      <c r="I174" s="211"/>
      <c r="J174" s="172" t="s">
        <v>250</v>
      </c>
      <c r="K174" s="1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</row>
    <row r="175" spans="1:40">
      <c r="A175" s="9">
        <f t="shared" si="5"/>
        <v>133</v>
      </c>
      <c r="B175" s="3"/>
      <c r="C175" s="91" t="str">
        <f>"  Adjusted Total  (sum lines "&amp;A173&amp;"-"&amp;A174&amp;")"</f>
        <v xml:space="preserve">  Adjusted Total  (sum lines 131-132)</v>
      </c>
      <c r="D175" s="1"/>
      <c r="E175" s="1">
        <f>SUM(E173:E174)</f>
        <v>13877225</v>
      </c>
      <c r="F175" s="1"/>
      <c r="G175" s="3"/>
      <c r="H175" s="1">
        <f>SUM(H172:H174)</f>
        <v>1419694.33626</v>
      </c>
      <c r="I175" s="1" t="s">
        <v>92</v>
      </c>
      <c r="J175" s="203">
        <f>IF(E175&gt;0,+H175/E175,0)</f>
        <v>0.10230390703184535</v>
      </c>
      <c r="K175" s="174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</row>
    <row r="176" spans="1:40">
      <c r="A176" s="9">
        <f t="shared" si="5"/>
        <v>134</v>
      </c>
      <c r="B176" s="3"/>
      <c r="C176" s="91"/>
      <c r="D176" s="1"/>
      <c r="E176" s="1"/>
      <c r="F176" s="1"/>
      <c r="G176" s="1"/>
      <c r="H176" s="1"/>
      <c r="I176" s="1"/>
      <c r="J176" s="1"/>
      <c r="K176" s="1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</row>
    <row r="177" spans="1:40">
      <c r="A177" s="9">
        <f t="shared" si="5"/>
        <v>135</v>
      </c>
      <c r="B177" s="3"/>
      <c r="C177" s="91" t="s">
        <v>128</v>
      </c>
      <c r="D177" s="1"/>
      <c r="E177" s="1"/>
      <c r="F177" s="1"/>
      <c r="G177" s="1"/>
      <c r="H177" s="1"/>
      <c r="I177" s="1"/>
      <c r="J177" s="1"/>
      <c r="K177" s="1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</row>
    <row r="178" spans="1:40" ht="15.75" thickBot="1">
      <c r="A178" s="9">
        <f t="shared" si="5"/>
        <v>136</v>
      </c>
      <c r="B178" s="3"/>
      <c r="C178" s="91"/>
      <c r="D178" s="1"/>
      <c r="E178" s="238" t="s">
        <v>247</v>
      </c>
      <c r="F178" s="238" t="s">
        <v>254</v>
      </c>
      <c r="G178" s="208" t="s">
        <v>200</v>
      </c>
      <c r="H178" s="242" t="s">
        <v>131</v>
      </c>
      <c r="I178" s="220"/>
      <c r="J178" s="205"/>
      <c r="K178" s="3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</row>
    <row r="179" spans="1:40">
      <c r="A179" s="9">
        <f t="shared" si="5"/>
        <v>137</v>
      </c>
      <c r="B179" s="3"/>
      <c r="C179" s="91" t="s">
        <v>129</v>
      </c>
      <c r="D179" s="81" t="s">
        <v>439</v>
      </c>
      <c r="E179" s="1">
        <f>J135-J154</f>
        <v>224417127.89715689</v>
      </c>
      <c r="F179" s="83">
        <f>IF(E181&gt;0,+E179/E181,0)</f>
        <v>0.40044863371644351</v>
      </c>
      <c r="G179" s="243">
        <f>+J143</f>
        <v>0.86592599999999997</v>
      </c>
      <c r="H179" s="244">
        <f>IF(F179&gt;0,+G179*F179,0)</f>
        <v>0.34675888359954504</v>
      </c>
      <c r="I179" s="245"/>
      <c r="J179" s="9"/>
      <c r="K179" s="1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</row>
    <row r="180" spans="1:40">
      <c r="A180" s="9">
        <f t="shared" si="5"/>
        <v>138</v>
      </c>
      <c r="B180" s="3"/>
      <c r="C180" s="91" t="s">
        <v>130</v>
      </c>
      <c r="D180" s="81" t="s">
        <v>440</v>
      </c>
      <c r="E180" s="1">
        <f>J146-J164</f>
        <v>335997140.00634152</v>
      </c>
      <c r="F180" s="83">
        <f>IF(E181&gt;0,+E180/E181,0)</f>
        <v>0.59955136628355643</v>
      </c>
      <c r="G180" s="3"/>
      <c r="H180" s="218"/>
      <c r="I180" s="174"/>
      <c r="J180" s="218"/>
      <c r="K180" s="220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</row>
    <row r="181" spans="1:40">
      <c r="A181" s="9">
        <f t="shared" si="5"/>
        <v>139</v>
      </c>
      <c r="B181" s="3"/>
      <c r="C181" s="91" t="str">
        <f>"  Total  (sum lines "&amp;A179&amp;" - "&amp;A180&amp;")"</f>
        <v xml:space="preserve">  Total  (sum lines 137 - 138)</v>
      </c>
      <c r="D181" s="1"/>
      <c r="E181" s="231">
        <f>SUM(E179:E180)</f>
        <v>560414267.90349841</v>
      </c>
      <c r="F181" s="246">
        <f>SUM(F179:F180)</f>
        <v>1</v>
      </c>
      <c r="G181" s="1"/>
      <c r="H181" s="1"/>
      <c r="I181" s="1" t="s">
        <v>132</v>
      </c>
      <c r="J181" s="247">
        <f>+H179</f>
        <v>0.34675888359954504</v>
      </c>
      <c r="K181" s="1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</row>
    <row r="182" spans="1:40">
      <c r="A182" s="9">
        <f t="shared" si="5"/>
        <v>140</v>
      </c>
      <c r="B182" s="3"/>
      <c r="C182" s="91"/>
      <c r="D182" s="1"/>
      <c r="E182" s="3"/>
      <c r="F182" s="1"/>
      <c r="G182" s="1"/>
      <c r="H182" s="1"/>
      <c r="I182" s="1"/>
      <c r="J182" s="247"/>
      <c r="K182" s="1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</row>
    <row r="183" spans="1:40" s="250" customFormat="1" ht="15.75" thickBot="1">
      <c r="A183" s="9">
        <f t="shared" si="5"/>
        <v>141</v>
      </c>
      <c r="B183" s="248"/>
      <c r="C183" s="249" t="s">
        <v>252</v>
      </c>
      <c r="D183" s="208" t="s">
        <v>246</v>
      </c>
      <c r="E183" s="1"/>
      <c r="F183" s="1"/>
      <c r="G183" s="1"/>
      <c r="H183" s="1"/>
      <c r="I183" s="1"/>
      <c r="J183" s="238" t="s">
        <v>247</v>
      </c>
      <c r="K183" s="1"/>
      <c r="L183" s="197"/>
      <c r="M183" s="197"/>
      <c r="N183" s="197"/>
    </row>
    <row r="184" spans="1:40">
      <c r="A184" s="9">
        <f t="shared" si="5"/>
        <v>142</v>
      </c>
      <c r="B184" s="248"/>
      <c r="C184" s="72" t="s">
        <v>329</v>
      </c>
      <c r="D184" s="1" t="s">
        <v>441</v>
      </c>
      <c r="E184" s="1"/>
      <c r="F184" s="1"/>
      <c r="G184" s="1"/>
      <c r="H184" s="1"/>
      <c r="I184" s="1"/>
      <c r="J184" s="271">
        <f>20213000+201362+184959</f>
        <v>20599321</v>
      </c>
      <c r="K184" s="1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</row>
    <row r="185" spans="1:40">
      <c r="A185" s="9">
        <f t="shared" si="5"/>
        <v>143</v>
      </c>
      <c r="B185" s="250"/>
      <c r="C185" s="91"/>
      <c r="D185" s="1"/>
      <c r="E185" s="1"/>
      <c r="F185" s="1"/>
      <c r="G185" s="1"/>
      <c r="H185" s="1"/>
      <c r="I185" s="1"/>
      <c r="J185" s="1"/>
      <c r="K185" s="1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</row>
    <row r="186" spans="1:40">
      <c r="A186" s="9">
        <f t="shared" si="5"/>
        <v>144</v>
      </c>
      <c r="B186" s="248"/>
      <c r="C186" s="91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</row>
    <row r="187" spans="1:40">
      <c r="A187" s="9">
        <f t="shared" si="5"/>
        <v>145</v>
      </c>
      <c r="B187" s="248"/>
      <c r="C187" s="91"/>
      <c r="D187" s="1"/>
      <c r="E187" s="1"/>
      <c r="F187" s="1"/>
      <c r="G187" s="1"/>
      <c r="H187" s="1"/>
      <c r="I187" s="1"/>
      <c r="J187" s="1"/>
      <c r="K187" s="1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</row>
    <row r="188" spans="1:40">
      <c r="A188" s="9">
        <f t="shared" si="5"/>
        <v>146</v>
      </c>
      <c r="B188" s="248"/>
      <c r="C188" s="249" t="s">
        <v>332</v>
      </c>
      <c r="D188" s="208" t="s">
        <v>246</v>
      </c>
      <c r="E188" s="1"/>
      <c r="F188" s="1"/>
      <c r="G188" s="1"/>
      <c r="H188" s="1"/>
      <c r="I188" s="1"/>
      <c r="J188" s="1"/>
      <c r="K188" s="1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</row>
    <row r="189" spans="1:40">
      <c r="A189" s="9">
        <f t="shared" si="5"/>
        <v>147</v>
      </c>
      <c r="B189" s="248"/>
      <c r="C189" s="91" t="s">
        <v>22</v>
      </c>
      <c r="D189" s="1" t="s">
        <v>333</v>
      </c>
      <c r="E189" s="72"/>
      <c r="F189" s="1"/>
      <c r="G189" s="1"/>
      <c r="H189" s="1"/>
      <c r="I189" s="1"/>
      <c r="J189" s="271">
        <v>550593990</v>
      </c>
      <c r="K189" s="1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</row>
    <row r="190" spans="1:40">
      <c r="A190" s="9">
        <f t="shared" si="5"/>
        <v>148</v>
      </c>
      <c r="B190" s="248"/>
      <c r="C190" s="91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</row>
    <row r="191" spans="1:40">
      <c r="A191" s="9">
        <f t="shared" si="5"/>
        <v>149</v>
      </c>
      <c r="B191" s="248"/>
      <c r="C191" s="91" t="s">
        <v>336</v>
      </c>
      <c r="D191" s="1" t="s">
        <v>337</v>
      </c>
      <c r="E191" s="1"/>
      <c r="F191" s="1"/>
      <c r="G191" s="1"/>
      <c r="H191" s="1"/>
      <c r="I191" s="1"/>
      <c r="J191" s="46">
        <v>0</v>
      </c>
      <c r="K191" s="1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</row>
    <row r="192" spans="1:40" ht="15.75" thickBot="1">
      <c r="A192" s="9">
        <f t="shared" si="5"/>
        <v>150</v>
      </c>
      <c r="B192" s="248"/>
      <c r="C192" s="91" t="s">
        <v>338</v>
      </c>
      <c r="D192" s="1" t="s">
        <v>339</v>
      </c>
      <c r="E192" s="1"/>
      <c r="F192" s="1"/>
      <c r="G192" s="1"/>
      <c r="H192" s="1"/>
      <c r="I192" s="1"/>
      <c r="J192" s="272">
        <v>782536</v>
      </c>
      <c r="K192" s="1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</row>
    <row r="193" spans="1:40">
      <c r="A193" s="9">
        <f t="shared" si="5"/>
        <v>151</v>
      </c>
      <c r="B193" s="248"/>
      <c r="C193" s="251" t="s">
        <v>340</v>
      </c>
      <c r="D193" s="1"/>
      <c r="E193" s="72" t="str">
        <f>"(sum lines "&amp;A189&amp;"-"&amp;A192&amp;")"</f>
        <v>(sum lines 147-150)</v>
      </c>
      <c r="F193" s="72"/>
      <c r="G193" s="72"/>
      <c r="H193" s="72"/>
      <c r="I193" s="72"/>
      <c r="J193" s="19">
        <f>SUM(J189:J192)</f>
        <v>551376526</v>
      </c>
      <c r="K193" s="1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</row>
    <row r="194" spans="1:40">
      <c r="A194" s="9">
        <f t="shared" si="5"/>
        <v>152</v>
      </c>
      <c r="B194" s="3"/>
      <c r="C194" s="91"/>
      <c r="D194" s="1"/>
      <c r="E194" s="1"/>
      <c r="F194" s="1"/>
      <c r="G194" s="1"/>
      <c r="H194" s="174"/>
      <c r="I194" s="1"/>
      <c r="J194" s="1"/>
      <c r="K194" s="1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</row>
    <row r="195" spans="1:40" ht="15.75" thickBot="1">
      <c r="A195" s="9">
        <f t="shared" si="5"/>
        <v>153</v>
      </c>
      <c r="B195" s="3"/>
      <c r="C195" s="91"/>
      <c r="D195" s="4" t="s">
        <v>246</v>
      </c>
      <c r="E195" s="252" t="s">
        <v>247</v>
      </c>
      <c r="F195" s="172" t="s">
        <v>254</v>
      </c>
      <c r="G195" s="1"/>
      <c r="H195" s="172" t="s">
        <v>253</v>
      </c>
      <c r="I195" s="1"/>
      <c r="J195" s="172" t="s">
        <v>255</v>
      </c>
      <c r="K195" s="1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</row>
    <row r="196" spans="1:40">
      <c r="A196" s="9">
        <f t="shared" si="5"/>
        <v>154</v>
      </c>
      <c r="B196" s="3"/>
      <c r="C196" s="90" t="s">
        <v>327</v>
      </c>
      <c r="D196" s="307" t="s">
        <v>391</v>
      </c>
      <c r="E196" s="267">
        <v>339930310</v>
      </c>
      <c r="F196" s="82">
        <v>0.43</v>
      </c>
      <c r="G196" s="253"/>
      <c r="H196" s="83">
        <f>IF(E196&gt;0,+J184/E196,0)</f>
        <v>6.0598659178112128E-2</v>
      </c>
      <c r="I196" s="3"/>
      <c r="J196" s="83">
        <f>H196*F196</f>
        <v>2.6057423446588214E-2</v>
      </c>
      <c r="K196" s="254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</row>
    <row r="197" spans="1:40">
      <c r="A197" s="9">
        <f t="shared" si="5"/>
        <v>155</v>
      </c>
      <c r="B197" s="3"/>
      <c r="C197" s="90" t="s">
        <v>328</v>
      </c>
      <c r="D197" s="202" t="s">
        <v>335</v>
      </c>
      <c r="E197" s="1"/>
      <c r="F197" s="82">
        <f>IF($E$199&gt;0,E197/$E$199,0)</f>
        <v>0</v>
      </c>
      <c r="G197" s="253"/>
      <c r="H197" s="83">
        <f>IF(E197&gt;0,J186/E197,0)</f>
        <v>0</v>
      </c>
      <c r="I197" s="3"/>
      <c r="J197" s="83">
        <f>H197*F197</f>
        <v>0</v>
      </c>
      <c r="K197" s="1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</row>
    <row r="198" spans="1:40" ht="15.75" thickBot="1">
      <c r="A198" s="9">
        <f t="shared" si="5"/>
        <v>156</v>
      </c>
      <c r="B198" s="3"/>
      <c r="C198" s="251" t="s">
        <v>341</v>
      </c>
      <c r="D198" s="202" t="str">
        <f>"(see above line "&amp;A193&amp;")"</f>
        <v>(see above line 151)</v>
      </c>
      <c r="E198" s="4">
        <f>+J193</f>
        <v>551376526</v>
      </c>
      <c r="F198" s="82">
        <v>0.56999999999999995</v>
      </c>
      <c r="G198" s="3" t="s">
        <v>172</v>
      </c>
      <c r="H198" s="83">
        <v>0.108</v>
      </c>
      <c r="I198" s="3" t="s">
        <v>172</v>
      </c>
      <c r="J198" s="255">
        <f>H198*F198</f>
        <v>6.1559999999999997E-2</v>
      </c>
      <c r="K198" s="1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</row>
    <row r="199" spans="1:40">
      <c r="A199" s="9">
        <f t="shared" si="5"/>
        <v>157</v>
      </c>
      <c r="B199" s="3"/>
      <c r="C199" s="91" t="str">
        <f>"Total  (sum lines "&amp;A196&amp;"-"&amp;A198&amp;")"</f>
        <v>Total  (sum lines 154-156)</v>
      </c>
      <c r="D199" s="3"/>
      <c r="E199" s="1">
        <f>E198+E197+E196</f>
        <v>891306836</v>
      </c>
      <c r="F199" s="1" t="s">
        <v>194</v>
      </c>
      <c r="G199" s="1"/>
      <c r="H199" s="1"/>
      <c r="I199" s="1" t="s">
        <v>357</v>
      </c>
      <c r="J199" s="83">
        <f>SUM(J196:J198)</f>
        <v>8.7617423446588211E-2</v>
      </c>
      <c r="K199" s="254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</row>
    <row r="200" spans="1:40">
      <c r="A200" s="9"/>
      <c r="B200" s="3"/>
      <c r="C200" s="91"/>
      <c r="D200" s="3"/>
      <c r="E200" s="1"/>
      <c r="F200" s="1"/>
      <c r="G200" s="1"/>
      <c r="H200" s="1"/>
      <c r="I200" s="80" t="s">
        <v>417</v>
      </c>
      <c r="J200" s="256">
        <f>J1</f>
        <v>45077</v>
      </c>
      <c r="K200" s="254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</row>
    <row r="201" spans="1:40">
      <c r="A201" s="3"/>
      <c r="B201" s="3"/>
      <c r="C201" s="3"/>
      <c r="D201" s="3"/>
      <c r="E201" s="3"/>
      <c r="F201" s="1"/>
      <c r="G201" s="1"/>
      <c r="I201" s="163" t="str">
        <f>$I$2</f>
        <v>Service Year</v>
      </c>
      <c r="J201" s="72">
        <f>$J$2</f>
        <v>2022</v>
      </c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</row>
    <row r="202" spans="1:40">
      <c r="A202" s="9"/>
      <c r="B202" s="3"/>
      <c r="C202" s="91"/>
      <c r="D202" s="72"/>
      <c r="E202" s="1"/>
      <c r="F202" s="1"/>
      <c r="G202" s="1"/>
      <c r="H202" s="1"/>
      <c r="I202" s="72"/>
      <c r="J202" s="1"/>
      <c r="K202" s="72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</row>
    <row r="203" spans="1:40" ht="15.75">
      <c r="A203" s="324" t="s">
        <v>321</v>
      </c>
      <c r="B203" s="324"/>
      <c r="C203" s="324"/>
      <c r="D203" s="324"/>
      <c r="E203" s="324"/>
      <c r="F203" s="324"/>
      <c r="G203" s="324"/>
      <c r="H203" s="324"/>
      <c r="I203" s="324"/>
      <c r="J203" s="324"/>
      <c r="K203" s="324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</row>
    <row r="204" spans="1:40" ht="15.75">
      <c r="A204" s="325" t="s">
        <v>195</v>
      </c>
      <c r="B204" s="325"/>
      <c r="C204" s="325"/>
      <c r="D204" s="325"/>
      <c r="E204" s="325"/>
      <c r="F204" s="325"/>
      <c r="G204" s="325"/>
      <c r="H204" s="325"/>
      <c r="I204" s="325"/>
      <c r="J204" s="325"/>
      <c r="K204" s="325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</row>
    <row r="205" spans="1:40">
      <c r="A205" s="3"/>
      <c r="B205" s="3"/>
      <c r="C205" s="72"/>
      <c r="D205" s="72"/>
      <c r="F205" s="72"/>
      <c r="G205" s="72"/>
      <c r="H205" s="72"/>
      <c r="I205" s="72"/>
      <c r="J205" s="72"/>
      <c r="K205" s="72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</row>
    <row r="206" spans="1:40" ht="15.75">
      <c r="A206" s="326" t="s">
        <v>320</v>
      </c>
      <c r="B206" s="326"/>
      <c r="C206" s="326"/>
      <c r="D206" s="326"/>
      <c r="E206" s="326"/>
      <c r="F206" s="326"/>
      <c r="G206" s="326"/>
      <c r="H206" s="326"/>
      <c r="I206" s="326"/>
      <c r="J206" s="326"/>
      <c r="K206" s="326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</row>
    <row r="207" spans="1:40">
      <c r="A207" s="9"/>
      <c r="B207" s="2"/>
      <c r="C207" s="257"/>
      <c r="D207" s="9"/>
      <c r="E207" s="1"/>
      <c r="F207" s="1"/>
      <c r="G207" s="1"/>
      <c r="H207" s="1"/>
      <c r="I207" s="2"/>
      <c r="J207" s="258"/>
      <c r="K207" s="259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</row>
    <row r="208" spans="1:40">
      <c r="A208" s="3"/>
      <c r="B208" s="2"/>
      <c r="C208" s="90"/>
      <c r="D208" s="9"/>
      <c r="E208" s="1"/>
      <c r="F208" s="1"/>
      <c r="G208" s="1"/>
      <c r="H208" s="1"/>
      <c r="I208" s="2"/>
      <c r="J208" s="1"/>
      <c r="K208" s="2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</row>
    <row r="209" spans="1:40">
      <c r="A209" s="9"/>
      <c r="B209" s="2"/>
      <c r="C209" s="90"/>
      <c r="D209" s="9"/>
      <c r="E209" s="1"/>
      <c r="F209" s="1"/>
      <c r="G209" s="1"/>
      <c r="H209" s="1"/>
      <c r="I209" s="2"/>
      <c r="J209" s="1"/>
      <c r="K209" s="2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</row>
    <row r="210" spans="1:40">
      <c r="A210" s="9"/>
      <c r="B210" s="2"/>
      <c r="C210" s="90"/>
      <c r="D210" s="9"/>
      <c r="E210" s="1"/>
      <c r="F210" s="1"/>
      <c r="G210" s="1"/>
      <c r="H210" s="1"/>
      <c r="I210" s="2"/>
      <c r="J210" s="1"/>
      <c r="K210" s="2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</row>
    <row r="211" spans="1:40">
      <c r="A211" s="9" t="s">
        <v>256</v>
      </c>
      <c r="B211" s="2"/>
      <c r="C211" s="90"/>
      <c r="D211" s="2"/>
      <c r="E211" s="1"/>
      <c r="F211" s="1"/>
      <c r="G211" s="1"/>
      <c r="H211" s="1"/>
      <c r="I211" s="2"/>
      <c r="J211" s="1"/>
      <c r="K211" s="2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</row>
    <row r="212" spans="1:40" ht="15.75" thickBot="1">
      <c r="A212" s="172" t="s">
        <v>257</v>
      </c>
      <c r="B212" s="2"/>
      <c r="C212" s="90"/>
      <c r="D212" s="2"/>
      <c r="E212" s="1"/>
      <c r="F212" s="1"/>
      <c r="G212" s="1"/>
      <c r="H212" s="1"/>
      <c r="I212" s="2"/>
      <c r="J212" s="1"/>
      <c r="K212" s="2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</row>
    <row r="213" spans="1:40">
      <c r="A213" s="9"/>
      <c r="B213" s="2"/>
      <c r="C213" s="90"/>
      <c r="D213" s="2"/>
      <c r="E213" s="1"/>
      <c r="F213" s="1"/>
      <c r="G213" s="1"/>
      <c r="H213" s="1"/>
      <c r="I213" s="2"/>
      <c r="J213" s="1"/>
      <c r="K213" s="2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60"/>
      <c r="K221" s="2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60"/>
      <c r="K222" s="2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60"/>
      <c r="K223" s="2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60"/>
      <c r="K224" s="2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60"/>
      <c r="K225" s="2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60"/>
      <c r="J226" s="260"/>
      <c r="K226" s="2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61"/>
      <c r="K228" s="2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</row>
    <row r="232" spans="1:40">
      <c r="A232" s="9" t="s">
        <v>194</v>
      </c>
      <c r="B232" s="2"/>
      <c r="C232" s="2" t="s">
        <v>288</v>
      </c>
      <c r="D232" s="2" t="s">
        <v>281</v>
      </c>
      <c r="E232" s="262">
        <v>0.21</v>
      </c>
      <c r="F232" s="2"/>
      <c r="G232" s="2"/>
      <c r="H232" s="2"/>
      <c r="I232" s="2"/>
      <c r="J232" s="2"/>
      <c r="K232" s="2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</row>
    <row r="233" spans="1:40">
      <c r="A233" s="9"/>
      <c r="B233" s="2"/>
      <c r="C233" s="2"/>
      <c r="D233" s="2" t="s">
        <v>282</v>
      </c>
      <c r="E233" s="262">
        <v>0</v>
      </c>
      <c r="F233" s="2" t="s">
        <v>283</v>
      </c>
      <c r="G233" s="2"/>
      <c r="H233" s="2"/>
      <c r="I233" s="2"/>
      <c r="J233" s="2"/>
      <c r="K233" s="2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</row>
    <row r="234" spans="1:40">
      <c r="A234" s="9"/>
      <c r="B234" s="2"/>
      <c r="C234" s="2"/>
      <c r="D234" s="2" t="s">
        <v>284</v>
      </c>
      <c r="E234" s="262">
        <v>0</v>
      </c>
      <c r="F234" s="2" t="s">
        <v>285</v>
      </c>
      <c r="G234" s="2"/>
      <c r="H234" s="2"/>
      <c r="I234" s="2"/>
      <c r="J234" s="2"/>
      <c r="K234" s="2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</row>
    <row r="235" spans="1:40">
      <c r="A235" s="263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0" t="s">
        <v>71</v>
      </c>
    </row>
    <row r="237" spans="1:40">
      <c r="A237" s="264" t="s">
        <v>267</v>
      </c>
      <c r="C237" s="90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P77"/>
  <sheetViews>
    <sheetView topLeftCell="A9" zoomScaleNormal="100" zoomScalePageLayoutView="81" workbookViewId="0">
      <selection activeCell="H23" sqref="H23"/>
    </sheetView>
  </sheetViews>
  <sheetFormatPr defaultRowHeight="12.75"/>
  <cols>
    <col min="1" max="1" width="3.88671875" style="31" customWidth="1"/>
    <col min="2" max="2" width="2.5546875" style="31" customWidth="1"/>
    <col min="3" max="3" width="3" style="31" customWidth="1"/>
    <col min="4" max="4" width="2.44140625" style="31" customWidth="1"/>
    <col min="5" max="6" width="8.88671875" style="31"/>
    <col min="7" max="7" width="1.88671875" style="31" customWidth="1"/>
    <col min="8" max="11" width="8.88671875" style="31"/>
    <col min="12" max="12" width="15" style="31" customWidth="1"/>
    <col min="13" max="13" width="11.88671875" style="31" customWidth="1"/>
    <col min="14" max="15" width="10.33203125" style="31" customWidth="1"/>
    <col min="16" max="16384" width="8.88671875" style="31"/>
  </cols>
  <sheetData>
    <row r="3" spans="1:16" ht="15.75">
      <c r="B3" s="47"/>
      <c r="C3" s="47"/>
      <c r="D3" s="47"/>
      <c r="E3" s="47"/>
      <c r="F3" s="47"/>
      <c r="G3" s="47"/>
      <c r="H3" s="47"/>
      <c r="I3" s="47"/>
      <c r="J3" s="47"/>
      <c r="K3" s="47"/>
      <c r="L3" s="76"/>
      <c r="M3" s="76"/>
      <c r="N3" s="76" t="s">
        <v>417</v>
      </c>
      <c r="O3" s="185">
        <f>+'True-Up'!J1</f>
        <v>45077</v>
      </c>
      <c r="P3" s="47"/>
    </row>
    <row r="4" spans="1:16">
      <c r="L4" s="76"/>
      <c r="M4" s="76"/>
      <c r="N4" s="76" t="s">
        <v>166</v>
      </c>
      <c r="O4" s="186">
        <v>2022</v>
      </c>
    </row>
    <row r="5" spans="1:16" ht="15.75">
      <c r="A5" s="328" t="s">
        <v>431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</row>
    <row r="6" spans="1:16">
      <c r="A6" s="148" t="s">
        <v>196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149" t="s">
        <v>197</v>
      </c>
    </row>
    <row r="8" spans="1:16">
      <c r="A8" s="55">
        <v>1</v>
      </c>
      <c r="B8" s="62" t="s">
        <v>389</v>
      </c>
    </row>
    <row r="9" spans="1:16">
      <c r="A9" s="55">
        <f>A8+1</f>
        <v>2</v>
      </c>
    </row>
    <row r="10" spans="1:16">
      <c r="A10" s="55">
        <f t="shared" ref="A10:A74" si="0">A9+1</f>
        <v>3</v>
      </c>
      <c r="B10" s="31" t="s">
        <v>145</v>
      </c>
      <c r="D10" s="62" t="s">
        <v>390</v>
      </c>
    </row>
    <row r="11" spans="1:16">
      <c r="A11" s="55">
        <f t="shared" si="0"/>
        <v>4</v>
      </c>
      <c r="E11" s="31" t="s">
        <v>149</v>
      </c>
    </row>
    <row r="12" spans="1:16">
      <c r="A12" s="55">
        <f t="shared" si="0"/>
        <v>5</v>
      </c>
      <c r="E12" s="31" t="s">
        <v>146</v>
      </c>
    </row>
    <row r="13" spans="1:16">
      <c r="A13" s="55">
        <f t="shared" si="0"/>
        <v>6</v>
      </c>
      <c r="E13" s="31" t="s">
        <v>147</v>
      </c>
    </row>
    <row r="14" spans="1:16">
      <c r="A14" s="55">
        <f t="shared" si="0"/>
        <v>7</v>
      </c>
    </row>
    <row r="15" spans="1:16">
      <c r="A15" s="55">
        <f t="shared" si="0"/>
        <v>8</v>
      </c>
      <c r="B15" s="31" t="s">
        <v>148</v>
      </c>
      <c r="D15" s="31" t="s">
        <v>150</v>
      </c>
    </row>
    <row r="16" spans="1:16">
      <c r="A16" s="55">
        <f t="shared" si="0"/>
        <v>9</v>
      </c>
      <c r="E16" s="31" t="s">
        <v>151</v>
      </c>
    </row>
    <row r="17" spans="1:8">
      <c r="A17" s="55">
        <f t="shared" si="0"/>
        <v>10</v>
      </c>
    </row>
    <row r="18" spans="1:8">
      <c r="A18" s="55">
        <f t="shared" si="0"/>
        <v>11</v>
      </c>
      <c r="B18" s="31" t="s">
        <v>152</v>
      </c>
      <c r="D18" s="31" t="s">
        <v>153</v>
      </c>
    </row>
    <row r="19" spans="1:8">
      <c r="A19" s="55">
        <f t="shared" si="0"/>
        <v>12</v>
      </c>
    </row>
    <row r="20" spans="1:8">
      <c r="A20" s="55">
        <f t="shared" si="0"/>
        <v>13</v>
      </c>
      <c r="D20" s="31" t="s">
        <v>21</v>
      </c>
    </row>
    <row r="21" spans="1:8">
      <c r="A21" s="55">
        <f t="shared" si="0"/>
        <v>14</v>
      </c>
    </row>
    <row r="22" spans="1:8">
      <c r="A22" s="55">
        <f t="shared" si="0"/>
        <v>15</v>
      </c>
      <c r="D22" s="31" t="s">
        <v>154</v>
      </c>
      <c r="F22" s="56" t="s">
        <v>155</v>
      </c>
      <c r="G22" s="31" t="s">
        <v>19</v>
      </c>
    </row>
    <row r="23" spans="1:8">
      <c r="A23" s="55">
        <f t="shared" si="0"/>
        <v>16</v>
      </c>
      <c r="H23" s="31" t="s">
        <v>115</v>
      </c>
    </row>
    <row r="24" spans="1:8">
      <c r="A24" s="55">
        <f t="shared" si="0"/>
        <v>17</v>
      </c>
      <c r="H24" s="31" t="s">
        <v>20</v>
      </c>
    </row>
    <row r="25" spans="1:8">
      <c r="A25" s="55">
        <f t="shared" si="0"/>
        <v>18</v>
      </c>
    </row>
    <row r="26" spans="1:8">
      <c r="A26" s="55">
        <f t="shared" si="0"/>
        <v>19</v>
      </c>
      <c r="B26" s="57" t="s">
        <v>424</v>
      </c>
    </row>
    <row r="27" spans="1:8">
      <c r="A27" s="55">
        <f t="shared" si="0"/>
        <v>20</v>
      </c>
    </row>
    <row r="28" spans="1:8">
      <c r="A28" s="55">
        <f t="shared" si="0"/>
        <v>21</v>
      </c>
      <c r="E28" s="27" t="s">
        <v>187</v>
      </c>
      <c r="F28" s="27" t="s">
        <v>188</v>
      </c>
      <c r="G28" s="58" t="s">
        <v>189</v>
      </c>
    </row>
    <row r="29" spans="1:8">
      <c r="A29" s="55">
        <f t="shared" si="0"/>
        <v>22</v>
      </c>
      <c r="B29" s="59" t="s">
        <v>50</v>
      </c>
      <c r="E29" s="27"/>
      <c r="F29" s="27"/>
      <c r="G29" s="60"/>
    </row>
    <row r="30" spans="1:8">
      <c r="A30" s="55">
        <f t="shared" si="0"/>
        <v>23</v>
      </c>
      <c r="C30" s="31" t="s">
        <v>53</v>
      </c>
      <c r="E30" s="27" t="s">
        <v>191</v>
      </c>
      <c r="F30" s="77">
        <v>2010</v>
      </c>
      <c r="G30" s="63" t="s">
        <v>425</v>
      </c>
      <c r="H30" s="62"/>
    </row>
    <row r="31" spans="1:8">
      <c r="A31" s="55">
        <f t="shared" si="0"/>
        <v>24</v>
      </c>
      <c r="C31" s="31" t="s">
        <v>54</v>
      </c>
      <c r="E31" s="27" t="s">
        <v>191</v>
      </c>
      <c r="F31" s="77">
        <v>2010</v>
      </c>
      <c r="G31" s="63" t="s">
        <v>426</v>
      </c>
      <c r="H31" s="62"/>
    </row>
    <row r="32" spans="1:8">
      <c r="A32" s="55">
        <f t="shared" si="0"/>
        <v>25</v>
      </c>
      <c r="C32" s="31" t="s">
        <v>55</v>
      </c>
      <c r="E32" s="27" t="str">
        <f>+E30</f>
        <v>May</v>
      </c>
      <c r="F32" s="77">
        <v>2010</v>
      </c>
      <c r="G32" s="63" t="s">
        <v>427</v>
      </c>
      <c r="H32" s="62"/>
    </row>
    <row r="33" spans="1:8">
      <c r="A33" s="55">
        <f t="shared" si="0"/>
        <v>26</v>
      </c>
      <c r="C33" s="31" t="s">
        <v>56</v>
      </c>
      <c r="E33" s="27" t="s">
        <v>51</v>
      </c>
      <c r="F33" s="77">
        <v>2010</v>
      </c>
      <c r="G33" s="63" t="s">
        <v>52</v>
      </c>
      <c r="H33" s="62"/>
    </row>
    <row r="34" spans="1:8">
      <c r="A34" s="55">
        <f t="shared" si="0"/>
        <v>27</v>
      </c>
      <c r="E34" s="27"/>
      <c r="F34" s="27"/>
      <c r="G34" s="58"/>
    </row>
    <row r="35" spans="1:8">
      <c r="A35" s="55">
        <f t="shared" si="0"/>
        <v>28</v>
      </c>
      <c r="B35" s="59" t="s">
        <v>58</v>
      </c>
      <c r="E35" s="61"/>
      <c r="F35" s="27"/>
      <c r="G35" s="58"/>
    </row>
    <row r="36" spans="1:8">
      <c r="A36" s="55">
        <f t="shared" si="0"/>
        <v>29</v>
      </c>
      <c r="C36" s="31" t="s">
        <v>57</v>
      </c>
      <c r="E36" s="27" t="s">
        <v>182</v>
      </c>
      <c r="F36" s="77">
        <v>2010</v>
      </c>
      <c r="G36" s="63" t="s">
        <v>428</v>
      </c>
      <c r="H36" s="62"/>
    </row>
    <row r="37" spans="1:8">
      <c r="A37" s="55">
        <f t="shared" si="0"/>
        <v>30</v>
      </c>
      <c r="C37" s="31" t="s">
        <v>59</v>
      </c>
      <c r="E37" s="27" t="s">
        <v>182</v>
      </c>
      <c r="F37" s="77">
        <v>2010</v>
      </c>
      <c r="G37" s="63" t="s">
        <v>429</v>
      </c>
      <c r="H37" s="62"/>
    </row>
    <row r="38" spans="1:8">
      <c r="A38" s="55">
        <f t="shared" si="0"/>
        <v>31</v>
      </c>
      <c r="C38" s="31" t="s">
        <v>60</v>
      </c>
      <c r="E38" s="27" t="s">
        <v>182</v>
      </c>
      <c r="F38" s="77">
        <v>2010</v>
      </c>
      <c r="G38" s="63" t="s">
        <v>44</v>
      </c>
      <c r="H38" s="62"/>
    </row>
    <row r="39" spans="1:8">
      <c r="A39" s="55">
        <f t="shared" si="0"/>
        <v>32</v>
      </c>
      <c r="C39" s="31" t="s">
        <v>61</v>
      </c>
      <c r="E39" s="27" t="s">
        <v>182</v>
      </c>
      <c r="F39" s="77">
        <v>2010</v>
      </c>
      <c r="G39" s="63" t="s">
        <v>63</v>
      </c>
      <c r="H39" s="62"/>
    </row>
    <row r="40" spans="1:8">
      <c r="A40" s="55">
        <f t="shared" si="0"/>
        <v>33</v>
      </c>
      <c r="C40" s="31" t="s">
        <v>62</v>
      </c>
      <c r="E40" s="27" t="s">
        <v>157</v>
      </c>
      <c r="F40" s="77">
        <v>2010</v>
      </c>
      <c r="G40" s="63" t="s">
        <v>24</v>
      </c>
      <c r="H40" s="62"/>
    </row>
    <row r="41" spans="1:8">
      <c r="A41" s="55">
        <f t="shared" si="0"/>
        <v>34</v>
      </c>
      <c r="C41" s="31" t="s">
        <v>23</v>
      </c>
      <c r="E41" s="61" t="s">
        <v>159</v>
      </c>
      <c r="F41" s="77">
        <v>2011</v>
      </c>
      <c r="G41" s="63" t="s">
        <v>64</v>
      </c>
      <c r="H41" s="62"/>
    </row>
    <row r="42" spans="1:8">
      <c r="A42" s="55">
        <f t="shared" si="0"/>
        <v>35</v>
      </c>
    </row>
    <row r="43" spans="1:8">
      <c r="A43" s="55">
        <f t="shared" si="0"/>
        <v>36</v>
      </c>
      <c r="E43" s="31" t="s">
        <v>160</v>
      </c>
      <c r="F43" s="31" t="s">
        <v>161</v>
      </c>
    </row>
    <row r="44" spans="1:8">
      <c r="A44" s="55">
        <f t="shared" si="0"/>
        <v>37</v>
      </c>
      <c r="F44" s="31" t="s">
        <v>162</v>
      </c>
    </row>
    <row r="45" spans="1:8">
      <c r="A45" s="55">
        <f t="shared" si="0"/>
        <v>38</v>
      </c>
      <c r="F45" s="31" t="s">
        <v>163</v>
      </c>
    </row>
    <row r="46" spans="1:8">
      <c r="A46" s="55">
        <f t="shared" si="0"/>
        <v>39</v>
      </c>
      <c r="F46" s="31" t="s">
        <v>116</v>
      </c>
    </row>
    <row r="47" spans="1:8">
      <c r="A47" s="55">
        <f t="shared" si="0"/>
        <v>40</v>
      </c>
      <c r="F47" s="31" t="s">
        <v>174</v>
      </c>
    </row>
    <row r="48" spans="1:8">
      <c r="A48" s="55">
        <f t="shared" si="0"/>
        <v>41</v>
      </c>
      <c r="F48" s="31" t="s">
        <v>175</v>
      </c>
    </row>
    <row r="49" spans="1:15">
      <c r="A49" s="55">
        <f t="shared" si="0"/>
        <v>42</v>
      </c>
    </row>
    <row r="50" spans="1:15">
      <c r="A50" s="55">
        <f t="shared" si="0"/>
        <v>43</v>
      </c>
      <c r="F50" s="62" t="s">
        <v>388</v>
      </c>
    </row>
    <row r="51" spans="1:15">
      <c r="A51" s="55">
        <f t="shared" si="0"/>
        <v>44</v>
      </c>
      <c r="D51" s="59"/>
      <c r="E51" s="59"/>
      <c r="F51" s="59"/>
      <c r="G51" s="59"/>
      <c r="H51" s="59"/>
      <c r="I51" s="59"/>
      <c r="J51" s="59"/>
      <c r="K51" s="59"/>
      <c r="L51" s="59"/>
      <c r="M51" s="59" t="s">
        <v>207</v>
      </c>
      <c r="N51" s="59" t="s">
        <v>296</v>
      </c>
      <c r="O51" s="62"/>
    </row>
    <row r="52" spans="1:15">
      <c r="A52" s="55">
        <f t="shared" si="0"/>
        <v>45</v>
      </c>
      <c r="C52" s="31" t="s">
        <v>258</v>
      </c>
      <c r="D52" s="59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59"/>
      <c r="F52" s="59"/>
      <c r="G52" s="59"/>
      <c r="H52" s="59"/>
      <c r="I52" s="59"/>
      <c r="J52" s="59"/>
      <c r="K52" s="59"/>
      <c r="L52" s="59"/>
      <c r="M52" s="68">
        <f>+'True-Up'!J119</f>
        <v>-132570.4604479894</v>
      </c>
      <c r="N52" s="68">
        <f>+'BHP Sch. 1'!D22</f>
        <v>85107</v>
      </c>
      <c r="O52" s="187"/>
    </row>
    <row r="53" spans="1:15">
      <c r="A53" s="55">
        <f t="shared" si="0"/>
        <v>46</v>
      </c>
      <c r="C53" s="31" t="s">
        <v>259</v>
      </c>
      <c r="D53" s="59" t="s">
        <v>45</v>
      </c>
      <c r="E53" s="59"/>
      <c r="F53" s="59"/>
      <c r="G53" s="59"/>
      <c r="H53" s="59"/>
      <c r="I53" s="59"/>
      <c r="J53" s="59"/>
      <c r="K53" s="188"/>
      <c r="L53" s="59"/>
      <c r="M53" s="189">
        <f>ROUND((1+$K$77)^18,2)</f>
        <v>1.07</v>
      </c>
      <c r="N53" s="189">
        <f>ROUND((1+$K$77)^18,2)</f>
        <v>1.07</v>
      </c>
      <c r="O53" s="187"/>
    </row>
    <row r="54" spans="1:15">
      <c r="A54" s="55">
        <f t="shared" si="0"/>
        <v>47</v>
      </c>
      <c r="C54" s="31" t="s">
        <v>260</v>
      </c>
      <c r="D54" s="59" t="s">
        <v>430</v>
      </c>
      <c r="E54" s="59"/>
      <c r="F54" s="59"/>
      <c r="G54" s="59"/>
      <c r="H54" s="59"/>
      <c r="I54" s="59"/>
      <c r="J54" s="59"/>
      <c r="K54" s="188"/>
      <c r="L54" s="59"/>
      <c r="M54" s="190">
        <f>+M52*M53</f>
        <v>-141850.39267934868</v>
      </c>
      <c r="N54" s="190">
        <f>+N52*N53</f>
        <v>91064.49</v>
      </c>
      <c r="O54" s="187"/>
    </row>
    <row r="55" spans="1:15">
      <c r="A55" s="55">
        <f t="shared" si="0"/>
        <v>48</v>
      </c>
      <c r="K55" s="191"/>
      <c r="O55" s="191"/>
    </row>
    <row r="56" spans="1:15">
      <c r="A56" s="55">
        <f t="shared" si="0"/>
        <v>49</v>
      </c>
      <c r="E56" s="31" t="s">
        <v>154</v>
      </c>
      <c r="F56" s="31" t="s">
        <v>176</v>
      </c>
      <c r="K56" s="191"/>
      <c r="M56" s="62"/>
      <c r="O56" s="191"/>
    </row>
    <row r="57" spans="1:15">
      <c r="A57" s="55">
        <f t="shared" si="0"/>
        <v>50</v>
      </c>
      <c r="K57" s="191"/>
      <c r="N57" s="191"/>
      <c r="O57" s="191"/>
    </row>
    <row r="58" spans="1:15">
      <c r="A58" s="55">
        <f t="shared" si="0"/>
        <v>51</v>
      </c>
      <c r="D58" s="191" t="s">
        <v>177</v>
      </c>
      <c r="E58" s="191"/>
      <c r="F58" s="191"/>
      <c r="G58" s="191"/>
      <c r="H58" s="191"/>
      <c r="I58" s="191"/>
      <c r="J58" s="191"/>
      <c r="K58" s="191"/>
    </row>
    <row r="59" spans="1:15">
      <c r="A59" s="55">
        <f t="shared" si="0"/>
        <v>52</v>
      </c>
      <c r="D59" s="191"/>
      <c r="E59" s="191"/>
      <c r="F59" s="191"/>
      <c r="G59" s="191"/>
      <c r="H59" s="191"/>
      <c r="I59" s="191"/>
      <c r="J59" s="191"/>
      <c r="K59" s="34" t="s">
        <v>11</v>
      </c>
    </row>
    <row r="60" spans="1:15">
      <c r="A60" s="55">
        <f t="shared" si="0"/>
        <v>53</v>
      </c>
      <c r="D60" s="191"/>
      <c r="E60" s="192" t="s">
        <v>187</v>
      </c>
      <c r="F60" s="34"/>
      <c r="G60" s="34"/>
      <c r="H60" s="192" t="s">
        <v>188</v>
      </c>
      <c r="I60" s="193"/>
      <c r="J60" s="191"/>
      <c r="K60" s="192" t="s">
        <v>178</v>
      </c>
    </row>
    <row r="61" spans="1:15">
      <c r="A61" s="55">
        <f t="shared" si="0"/>
        <v>54</v>
      </c>
      <c r="E61" s="31" t="s">
        <v>159</v>
      </c>
      <c r="H61" s="31" t="s">
        <v>185</v>
      </c>
      <c r="K61" s="277">
        <v>2.8E-3</v>
      </c>
    </row>
    <row r="62" spans="1:15">
      <c r="A62" s="55">
        <f t="shared" si="0"/>
        <v>55</v>
      </c>
      <c r="E62" s="31" t="s">
        <v>179</v>
      </c>
      <c r="H62" s="31" t="s">
        <v>185</v>
      </c>
      <c r="K62" s="277">
        <v>2.5000000000000001E-3</v>
      </c>
    </row>
    <row r="63" spans="1:15">
      <c r="A63" s="55">
        <f t="shared" si="0"/>
        <v>56</v>
      </c>
      <c r="E63" s="31" t="s">
        <v>180</v>
      </c>
      <c r="H63" s="31" t="s">
        <v>185</v>
      </c>
      <c r="K63" s="277">
        <v>2.8E-3</v>
      </c>
    </row>
    <row r="64" spans="1:15">
      <c r="A64" s="55">
        <f t="shared" si="0"/>
        <v>57</v>
      </c>
      <c r="E64" s="31" t="s">
        <v>190</v>
      </c>
      <c r="H64" s="31" t="s">
        <v>185</v>
      </c>
      <c r="K64" s="277">
        <v>2.7000000000000001E-3</v>
      </c>
    </row>
    <row r="65" spans="1:11">
      <c r="A65" s="55">
        <f t="shared" si="0"/>
        <v>58</v>
      </c>
      <c r="E65" s="31" t="s">
        <v>191</v>
      </c>
      <c r="H65" s="31" t="s">
        <v>185</v>
      </c>
      <c r="K65" s="277">
        <v>2.8E-3</v>
      </c>
    </row>
    <row r="66" spans="1:11">
      <c r="A66" s="55">
        <f t="shared" si="0"/>
        <v>59</v>
      </c>
      <c r="E66" s="31" t="s">
        <v>192</v>
      </c>
      <c r="H66" s="31" t="s">
        <v>185</v>
      </c>
      <c r="K66" s="277">
        <v>2.7000000000000001E-3</v>
      </c>
    </row>
    <row r="67" spans="1:11">
      <c r="A67" s="55">
        <f t="shared" si="0"/>
        <v>60</v>
      </c>
      <c r="E67" s="31" t="s">
        <v>181</v>
      </c>
      <c r="H67" s="31" t="s">
        <v>185</v>
      </c>
      <c r="K67" s="277">
        <v>3.0999999999999999E-3</v>
      </c>
    </row>
    <row r="68" spans="1:11">
      <c r="A68" s="55">
        <f t="shared" si="0"/>
        <v>61</v>
      </c>
      <c r="E68" s="31" t="s">
        <v>156</v>
      </c>
      <c r="H68" s="31" t="s">
        <v>185</v>
      </c>
      <c r="K68" s="277">
        <v>3.0999999999999999E-3</v>
      </c>
    </row>
    <row r="69" spans="1:11">
      <c r="A69" s="55">
        <f t="shared" si="0"/>
        <v>62</v>
      </c>
      <c r="E69" s="31" t="s">
        <v>182</v>
      </c>
      <c r="H69" s="31" t="s">
        <v>185</v>
      </c>
      <c r="K69" s="277">
        <v>3.0000000000000001E-3</v>
      </c>
    </row>
    <row r="70" spans="1:11">
      <c r="A70" s="55">
        <f t="shared" si="0"/>
        <v>63</v>
      </c>
      <c r="E70" s="31" t="s">
        <v>157</v>
      </c>
      <c r="H70" s="31" t="s">
        <v>185</v>
      </c>
      <c r="K70" s="277">
        <v>4.1999999999999997E-3</v>
      </c>
    </row>
    <row r="71" spans="1:11">
      <c r="A71" s="55">
        <f t="shared" si="0"/>
        <v>64</v>
      </c>
      <c r="E71" s="31" t="s">
        <v>158</v>
      </c>
      <c r="H71" s="31" t="s">
        <v>185</v>
      </c>
      <c r="K71" s="277">
        <v>4.0000000000000001E-3</v>
      </c>
    </row>
    <row r="72" spans="1:11">
      <c r="A72" s="55">
        <f t="shared" si="0"/>
        <v>65</v>
      </c>
      <c r="E72" s="31" t="s">
        <v>183</v>
      </c>
      <c r="H72" s="31" t="s">
        <v>185</v>
      </c>
      <c r="K72" s="277">
        <v>4.1999999999999997E-3</v>
      </c>
    </row>
    <row r="73" spans="1:11">
      <c r="A73" s="55">
        <f t="shared" si="0"/>
        <v>66</v>
      </c>
      <c r="E73" s="31" t="s">
        <v>159</v>
      </c>
      <c r="H73" s="31" t="s">
        <v>186</v>
      </c>
      <c r="K73" s="277">
        <v>5.4000000000000003E-3</v>
      </c>
    </row>
    <row r="74" spans="1:11">
      <c r="A74" s="55">
        <f t="shared" si="0"/>
        <v>67</v>
      </c>
      <c r="E74" s="31" t="s">
        <v>179</v>
      </c>
      <c r="H74" s="31" t="s">
        <v>186</v>
      </c>
      <c r="K74" s="277">
        <v>4.7999999999999996E-3</v>
      </c>
    </row>
    <row r="75" spans="1:11">
      <c r="A75" s="55">
        <f>A74+1</f>
        <v>68</v>
      </c>
      <c r="E75" s="31" t="s">
        <v>180</v>
      </c>
      <c r="H75" s="31" t="s">
        <v>186</v>
      </c>
      <c r="K75" s="277">
        <v>5.4000000000000003E-3</v>
      </c>
    </row>
    <row r="76" spans="1:11">
      <c r="A76" s="55">
        <f>A75+1</f>
        <v>69</v>
      </c>
      <c r="E76" s="31" t="s">
        <v>190</v>
      </c>
      <c r="H76" s="31" t="s">
        <v>186</v>
      </c>
      <c r="K76" s="277">
        <v>6.1999999999999998E-3</v>
      </c>
    </row>
    <row r="77" spans="1:11">
      <c r="A77" s="55">
        <f>A76+1</f>
        <v>70</v>
      </c>
      <c r="F77" s="31" t="s">
        <v>184</v>
      </c>
      <c r="K77" s="194">
        <f>ROUND(AVERAGE(K61:K76),6)</f>
        <v>3.7309999999999999E-3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H34"/>
  <sheetViews>
    <sheetView zoomScaleNormal="100" workbookViewId="0">
      <selection activeCell="H23" sqref="H23"/>
    </sheetView>
  </sheetViews>
  <sheetFormatPr defaultColWidth="7.109375" defaultRowHeight="12.75"/>
  <cols>
    <col min="1" max="1" width="10.109375" style="5" customWidth="1"/>
    <col min="2" max="2" width="3.5546875" style="5" customWidth="1"/>
    <col min="3" max="4" width="1.88671875" style="5" customWidth="1"/>
    <col min="5" max="5" width="4" style="5" customWidth="1"/>
    <col min="6" max="6" width="24.109375" style="5" customWidth="1"/>
    <col min="7" max="7" width="1.88671875" style="5" customWidth="1"/>
    <col min="8" max="8" width="8.109375" style="176" customWidth="1"/>
    <col min="9" max="9" width="8.109375" style="5" customWidth="1"/>
    <col min="10" max="16384" width="7.109375" style="5"/>
  </cols>
  <sheetData>
    <row r="3" spans="1:8">
      <c r="F3" s="33"/>
    </row>
    <row r="4" spans="1:8">
      <c r="A4" s="329" t="s">
        <v>432</v>
      </c>
      <c r="B4" s="329"/>
      <c r="C4" s="329"/>
      <c r="D4" s="329"/>
      <c r="E4" s="329"/>
      <c r="F4" s="329"/>
      <c r="G4" s="329"/>
      <c r="H4" s="329"/>
    </row>
    <row r="5" spans="1:8">
      <c r="B5" s="177" t="s">
        <v>196</v>
      </c>
      <c r="H5" s="178" t="s">
        <v>416</v>
      </c>
    </row>
    <row r="6" spans="1:8">
      <c r="B6" s="179" t="s">
        <v>197</v>
      </c>
      <c r="D6" s="180" t="s">
        <v>342</v>
      </c>
      <c r="E6" s="180"/>
      <c r="F6" s="180"/>
      <c r="H6" s="181" t="s">
        <v>172</v>
      </c>
    </row>
    <row r="7" spans="1:8">
      <c r="B7" s="75">
        <v>1</v>
      </c>
    </row>
    <row r="8" spans="1:8">
      <c r="B8" s="75">
        <v>2</v>
      </c>
      <c r="D8" s="182" t="s">
        <v>111</v>
      </c>
      <c r="E8" s="182"/>
    </row>
    <row r="9" spans="1:8">
      <c r="B9" s="75">
        <v>3</v>
      </c>
    </row>
    <row r="10" spans="1:8">
      <c r="B10" s="75">
        <v>4</v>
      </c>
      <c r="E10" s="5">
        <v>350</v>
      </c>
      <c r="F10" s="42" t="s">
        <v>343</v>
      </c>
      <c r="H10" s="79">
        <v>0</v>
      </c>
    </row>
    <row r="11" spans="1:8">
      <c r="B11" s="75">
        <v>5</v>
      </c>
      <c r="E11" s="5">
        <v>352</v>
      </c>
      <c r="F11" s="42" t="s">
        <v>344</v>
      </c>
      <c r="H11" s="79">
        <v>2.3900000000000001E-2</v>
      </c>
    </row>
    <row r="12" spans="1:8">
      <c r="B12" s="75">
        <v>6</v>
      </c>
      <c r="E12" s="5">
        <v>353</v>
      </c>
      <c r="F12" s="42" t="s">
        <v>345</v>
      </c>
      <c r="H12" s="79">
        <v>2.6599999999999999E-2</v>
      </c>
    </row>
    <row r="13" spans="1:8">
      <c r="B13" s="75">
        <v>7</v>
      </c>
      <c r="E13" s="5">
        <v>354</v>
      </c>
      <c r="F13" s="42" t="s">
        <v>346</v>
      </c>
      <c r="H13" s="79">
        <v>2.0400000000000001E-2</v>
      </c>
    </row>
    <row r="14" spans="1:8">
      <c r="B14" s="75">
        <v>8</v>
      </c>
      <c r="E14" s="5">
        <v>355</v>
      </c>
      <c r="F14" s="42" t="s">
        <v>347</v>
      </c>
      <c r="H14" s="79">
        <v>2.2200000000000001E-2</v>
      </c>
    </row>
    <row r="15" spans="1:8">
      <c r="B15" s="75">
        <v>9</v>
      </c>
      <c r="E15" s="5">
        <v>356</v>
      </c>
      <c r="F15" s="42" t="s">
        <v>348</v>
      </c>
      <c r="H15" s="79">
        <v>2.0400000000000001E-2</v>
      </c>
    </row>
    <row r="16" spans="1:8">
      <c r="B16" s="75">
        <v>10</v>
      </c>
      <c r="E16" s="5">
        <v>359</v>
      </c>
      <c r="F16" s="42" t="s">
        <v>349</v>
      </c>
      <c r="H16" s="79">
        <v>1.95E-2</v>
      </c>
    </row>
    <row r="17" spans="2:8">
      <c r="B17" s="75">
        <v>11</v>
      </c>
      <c r="F17" s="42" t="s">
        <v>4</v>
      </c>
      <c r="H17" s="79">
        <v>2.3199999999999998E-2</v>
      </c>
    </row>
    <row r="18" spans="2:8">
      <c r="B18" s="75">
        <v>12</v>
      </c>
      <c r="H18" s="79"/>
    </row>
    <row r="19" spans="2:8">
      <c r="B19" s="75">
        <v>13</v>
      </c>
      <c r="D19" s="182" t="s">
        <v>100</v>
      </c>
      <c r="H19" s="79"/>
    </row>
    <row r="20" spans="2:8">
      <c r="B20" s="75">
        <v>14</v>
      </c>
      <c r="H20" s="79"/>
    </row>
    <row r="21" spans="2:8">
      <c r="B21" s="75">
        <v>15</v>
      </c>
      <c r="E21" s="5">
        <v>389</v>
      </c>
      <c r="F21" s="183" t="s">
        <v>343</v>
      </c>
      <c r="H21" s="79">
        <v>0</v>
      </c>
    </row>
    <row r="22" spans="2:8">
      <c r="B22" s="75">
        <v>16</v>
      </c>
      <c r="E22" s="5">
        <v>390</v>
      </c>
      <c r="F22" s="42" t="s">
        <v>344</v>
      </c>
      <c r="H22" s="79">
        <v>4.7300000000000002E-2</v>
      </c>
    </row>
    <row r="23" spans="2:8">
      <c r="B23" s="75">
        <v>17</v>
      </c>
      <c r="E23" s="5">
        <v>391</v>
      </c>
      <c r="F23" s="42" t="s">
        <v>350</v>
      </c>
      <c r="H23" s="79">
        <v>0.1056</v>
      </c>
    </row>
    <row r="24" spans="2:8">
      <c r="B24" s="75">
        <v>18</v>
      </c>
      <c r="E24" s="5">
        <v>392</v>
      </c>
      <c r="F24" s="42" t="s">
        <v>351</v>
      </c>
      <c r="H24" s="79">
        <v>9.06E-2</v>
      </c>
    </row>
    <row r="25" spans="2:8">
      <c r="B25" s="75">
        <v>19</v>
      </c>
      <c r="E25" s="5">
        <v>393</v>
      </c>
      <c r="F25" s="42" t="s">
        <v>352</v>
      </c>
      <c r="H25" s="79">
        <v>4.2299999999999997E-2</v>
      </c>
    </row>
    <row r="26" spans="2:8">
      <c r="B26" s="75">
        <v>20</v>
      </c>
      <c r="E26" s="5">
        <v>394</v>
      </c>
      <c r="F26" s="42" t="s">
        <v>13</v>
      </c>
      <c r="H26" s="79">
        <v>4.2299999999999997E-2</v>
      </c>
    </row>
    <row r="27" spans="2:8">
      <c r="B27" s="75">
        <v>21</v>
      </c>
      <c r="E27" s="5">
        <v>395</v>
      </c>
      <c r="F27" s="42" t="s">
        <v>353</v>
      </c>
      <c r="H27" s="79">
        <v>3.0599999999999999E-2</v>
      </c>
    </row>
    <row r="28" spans="2:8">
      <c r="B28" s="75">
        <v>22</v>
      </c>
      <c r="E28" s="5">
        <v>396</v>
      </c>
      <c r="F28" s="42" t="s">
        <v>354</v>
      </c>
      <c r="H28" s="79">
        <v>4.2299999999999997E-2</v>
      </c>
    </row>
    <row r="29" spans="2:8">
      <c r="B29" s="75">
        <v>23</v>
      </c>
      <c r="E29" s="5">
        <v>397</v>
      </c>
      <c r="F29" s="42" t="s">
        <v>355</v>
      </c>
      <c r="H29" s="79">
        <v>4.3900000000000002E-2</v>
      </c>
    </row>
    <row r="30" spans="2:8">
      <c r="B30" s="75">
        <v>24</v>
      </c>
      <c r="E30" s="5">
        <v>398</v>
      </c>
      <c r="F30" s="42" t="s">
        <v>356</v>
      </c>
      <c r="H30" s="79">
        <v>5.8099999999999999E-2</v>
      </c>
    </row>
    <row r="31" spans="2:8">
      <c r="B31" s="75">
        <v>25</v>
      </c>
      <c r="F31" s="42" t="s">
        <v>12</v>
      </c>
      <c r="H31" s="79">
        <v>6.5299999999999997E-2</v>
      </c>
    </row>
    <row r="32" spans="2:8">
      <c r="B32" s="75">
        <v>26</v>
      </c>
    </row>
    <row r="33" spans="2:6">
      <c r="B33" s="75">
        <v>27</v>
      </c>
      <c r="D33" s="42" t="s">
        <v>415</v>
      </c>
      <c r="E33" s="184"/>
      <c r="F33" s="42"/>
    </row>
    <row r="34" spans="2:6">
      <c r="F34" s="42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2:AQ172"/>
  <sheetViews>
    <sheetView zoomScale="70" zoomScaleNormal="70" zoomScaleSheetLayoutView="85" workbookViewId="0">
      <selection activeCell="H23" sqref="H23"/>
    </sheetView>
  </sheetViews>
  <sheetFormatPr defaultRowHeight="15"/>
  <cols>
    <col min="1" max="1" width="6" style="73" customWidth="1"/>
    <col min="2" max="2" width="1.44140625" style="73" customWidth="1"/>
    <col min="3" max="3" width="36" style="73" customWidth="1"/>
    <col min="4" max="4" width="24.44140625" style="73" customWidth="1"/>
    <col min="5" max="5" width="16.109375" style="73" customWidth="1"/>
    <col min="6" max="11" width="15.88671875" style="73" customWidth="1"/>
    <col min="12" max="12" width="17.6640625" style="73" bestFit="1" customWidth="1"/>
    <col min="13" max="13" width="16.109375" style="73" bestFit="1" customWidth="1"/>
    <col min="14" max="15" width="15.88671875" style="73" customWidth="1"/>
    <col min="16" max="16" width="19.6640625" style="73" bestFit="1" customWidth="1"/>
    <col min="17" max="17" width="14.88671875" style="73" bestFit="1" customWidth="1"/>
    <col min="18" max="18" width="17.88671875" style="73" customWidth="1"/>
    <col min="19" max="19" width="15.44140625" style="73" customWidth="1"/>
    <col min="20" max="20" width="14.88671875" style="73" bestFit="1" customWidth="1"/>
    <col min="21" max="21" width="14.109375" style="73" bestFit="1" customWidth="1"/>
    <col min="22" max="22" width="13.33203125" style="73" bestFit="1" customWidth="1"/>
    <col min="23" max="16384" width="8.88671875" style="73"/>
  </cols>
  <sheetData>
    <row r="2" spans="1:43" ht="15.75">
      <c r="A2" s="3"/>
      <c r="B2" s="3"/>
      <c r="C2" s="3"/>
      <c r="D2" s="47"/>
      <c r="E2" s="3"/>
      <c r="F2" s="3"/>
      <c r="G2" s="3"/>
      <c r="H2" s="3"/>
      <c r="I2" s="163" t="str">
        <f>'CU AC Rate Design - True-Up'!H1</f>
        <v>Date: May 31, 2023</v>
      </c>
      <c r="J2" s="3"/>
      <c r="K2" s="3"/>
      <c r="L2" s="3"/>
      <c r="O2" s="72"/>
      <c r="R2" s="164" t="str">
        <f>I2</f>
        <v>Date: May 31, 2023</v>
      </c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1:4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2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</row>
    <row r="4" spans="1:43" ht="15" customHeight="1">
      <c r="A4" s="324" t="s">
        <v>321</v>
      </c>
      <c r="B4" s="324"/>
      <c r="C4" s="324"/>
      <c r="D4" s="324"/>
      <c r="E4" s="324"/>
      <c r="F4" s="324"/>
      <c r="G4" s="324"/>
      <c r="H4" s="324"/>
      <c r="I4" s="324"/>
      <c r="J4" s="324" t="s">
        <v>321</v>
      </c>
      <c r="K4" s="324"/>
      <c r="L4" s="324"/>
      <c r="M4" s="324"/>
      <c r="N4" s="324"/>
      <c r="O4" s="324"/>
      <c r="P4" s="324"/>
      <c r="Q4" s="324"/>
      <c r="R4" s="324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</row>
    <row r="5" spans="1:43" ht="15.75">
      <c r="A5" s="325" t="s">
        <v>195</v>
      </c>
      <c r="B5" s="325"/>
      <c r="C5" s="325"/>
      <c r="D5" s="325"/>
      <c r="E5" s="325"/>
      <c r="F5" s="325"/>
      <c r="G5" s="325"/>
      <c r="H5" s="325"/>
      <c r="I5" s="325"/>
      <c r="J5" s="325" t="s">
        <v>195</v>
      </c>
      <c r="K5" s="325"/>
      <c r="L5" s="325"/>
      <c r="M5" s="325"/>
      <c r="N5" s="325"/>
      <c r="O5" s="325"/>
      <c r="P5" s="325"/>
      <c r="Q5" s="325"/>
      <c r="R5" s="325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</row>
    <row r="6" spans="1:43">
      <c r="A6" s="3"/>
      <c r="B6" s="3"/>
      <c r="C6" s="72"/>
      <c r="D6" s="72"/>
      <c r="F6" s="72"/>
      <c r="G6" s="72"/>
      <c r="H6" s="72"/>
      <c r="I6" s="72"/>
      <c r="J6" s="3"/>
      <c r="K6" s="3"/>
      <c r="L6" s="72"/>
      <c r="M6" s="72"/>
      <c r="O6" s="72"/>
      <c r="P6" s="72"/>
      <c r="Q6" s="72"/>
      <c r="R6" s="72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</row>
    <row r="7" spans="1:43" ht="15" customHeight="1">
      <c r="A7" s="326" t="s">
        <v>320</v>
      </c>
      <c r="B7" s="326"/>
      <c r="C7" s="326"/>
      <c r="D7" s="326"/>
      <c r="E7" s="326"/>
      <c r="F7" s="326"/>
      <c r="G7" s="326"/>
      <c r="H7" s="326"/>
      <c r="I7" s="326"/>
      <c r="J7" s="326" t="s">
        <v>320</v>
      </c>
      <c r="K7" s="326"/>
      <c r="L7" s="326"/>
      <c r="M7" s="326"/>
      <c r="N7" s="326"/>
      <c r="O7" s="326"/>
      <c r="P7" s="326"/>
      <c r="Q7" s="326"/>
      <c r="R7" s="326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</row>
    <row r="8" spans="1:43">
      <c r="A8" s="9"/>
      <c r="B8" s="3"/>
      <c r="C8" s="72"/>
      <c r="D8" s="72"/>
      <c r="E8" s="167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</row>
    <row r="9" spans="1:43">
      <c r="A9" s="3"/>
      <c r="B9" s="3"/>
      <c r="C9" s="168"/>
      <c r="D9" s="168"/>
      <c r="E9" s="168"/>
      <c r="F9" s="1"/>
      <c r="G9" s="1"/>
      <c r="H9" s="1"/>
      <c r="I9" s="1"/>
      <c r="J9" s="1"/>
      <c r="K9" s="1"/>
      <c r="L9" s="168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</row>
    <row r="10" spans="1:43" ht="15.75" customHeight="1">
      <c r="A10" s="3"/>
      <c r="B10" s="3"/>
      <c r="C10" s="91"/>
      <c r="D10" s="166" t="s">
        <v>206</v>
      </c>
      <c r="E10" s="1"/>
      <c r="F10" s="1"/>
      <c r="G10" s="1"/>
      <c r="H10" s="1"/>
      <c r="I10" s="1"/>
      <c r="J10" s="1"/>
      <c r="K10" s="1"/>
      <c r="L10" s="168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</row>
    <row r="11" spans="1:43" ht="15.75">
      <c r="A11" s="9" t="s">
        <v>196</v>
      </c>
      <c r="B11" s="3"/>
      <c r="C11" s="91"/>
      <c r="D11" s="169" t="s">
        <v>208</v>
      </c>
      <c r="E11" s="165" t="s">
        <v>209</v>
      </c>
      <c r="F11" s="170"/>
      <c r="G11" s="170"/>
      <c r="H11" s="170"/>
      <c r="I11" s="170"/>
      <c r="J11" s="170"/>
      <c r="K11" s="170"/>
      <c r="L11" s="168"/>
      <c r="O11" s="87"/>
      <c r="P11" s="87"/>
      <c r="Q11" s="171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</row>
    <row r="12" spans="1:43" ht="16.5" thickBot="1">
      <c r="A12" s="172" t="s">
        <v>197</v>
      </c>
      <c r="B12" s="3"/>
      <c r="C12" s="173" t="s">
        <v>211</v>
      </c>
      <c r="D12" s="1"/>
      <c r="E12" s="174" t="s">
        <v>26</v>
      </c>
      <c r="F12" s="174" t="s">
        <v>27</v>
      </c>
      <c r="G12" s="174" t="s">
        <v>28</v>
      </c>
      <c r="H12" s="174" t="s">
        <v>29</v>
      </c>
      <c r="I12" s="174" t="s">
        <v>30</v>
      </c>
      <c r="J12" s="174" t="s">
        <v>31</v>
      </c>
      <c r="K12" s="174" t="s">
        <v>32</v>
      </c>
      <c r="L12" s="174" t="s">
        <v>33</v>
      </c>
      <c r="M12" s="174" t="s">
        <v>145</v>
      </c>
      <c r="N12" s="174" t="s">
        <v>34</v>
      </c>
      <c r="O12" s="174" t="s">
        <v>35</v>
      </c>
      <c r="P12" s="174" t="s">
        <v>36</v>
      </c>
      <c r="Q12" s="174" t="s">
        <v>37</v>
      </c>
      <c r="R12" s="174" t="s">
        <v>38</v>
      </c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</row>
    <row r="13" spans="1:43" ht="15" customHeight="1">
      <c r="A13" s="9"/>
      <c r="B13" s="3"/>
      <c r="C13" s="91"/>
      <c r="D13" s="1"/>
      <c r="E13" s="71">
        <v>44531</v>
      </c>
      <c r="F13" s="71">
        <v>44562</v>
      </c>
      <c r="G13" s="71">
        <v>44593</v>
      </c>
      <c r="H13" s="71">
        <v>44621</v>
      </c>
      <c r="I13" s="71">
        <v>44652</v>
      </c>
      <c r="J13" s="71">
        <v>44682</v>
      </c>
      <c r="K13" s="71">
        <v>44713</v>
      </c>
      <c r="L13" s="71">
        <v>44743</v>
      </c>
      <c r="M13" s="71">
        <v>44774</v>
      </c>
      <c r="N13" s="71">
        <v>44805</v>
      </c>
      <c r="O13" s="71">
        <v>44835</v>
      </c>
      <c r="P13" s="71">
        <v>44866</v>
      </c>
      <c r="Q13" s="71">
        <v>44896</v>
      </c>
      <c r="R13" s="19" t="s">
        <v>25</v>
      </c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</row>
    <row r="14" spans="1:43">
      <c r="A14" s="9"/>
      <c r="B14" s="3"/>
      <c r="C14" s="91" t="s">
        <v>41</v>
      </c>
      <c r="D14" s="1" t="s">
        <v>411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175"/>
      <c r="T14" s="175"/>
      <c r="U14" s="175"/>
      <c r="V14" s="175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</row>
    <row r="15" spans="1:43">
      <c r="A15" s="9">
        <v>1</v>
      </c>
      <c r="B15" s="3"/>
      <c r="C15" s="91" t="s">
        <v>213</v>
      </c>
      <c r="D15" s="1" t="s">
        <v>73</v>
      </c>
      <c r="E15" s="19">
        <f t="shared" ref="E15:P15" si="0">E69-E90+E111+E133+E154</f>
        <v>685363401.37</v>
      </c>
      <c r="F15" s="19">
        <f t="shared" si="0"/>
        <v>690743957.5200001</v>
      </c>
      <c r="G15" s="19">
        <f t="shared" si="0"/>
        <v>689051891.69000006</v>
      </c>
      <c r="H15" s="19">
        <f t="shared" si="0"/>
        <v>686489228.87999988</v>
      </c>
      <c r="I15" s="19">
        <f t="shared" si="0"/>
        <v>686991626.41000009</v>
      </c>
      <c r="J15" s="19">
        <f t="shared" si="0"/>
        <v>693173758</v>
      </c>
      <c r="K15" s="19">
        <f t="shared" si="0"/>
        <v>692250735.41000009</v>
      </c>
      <c r="L15" s="19">
        <f t="shared" si="0"/>
        <v>695299720.69000006</v>
      </c>
      <c r="M15" s="19">
        <f t="shared" si="0"/>
        <v>706912026.17999995</v>
      </c>
      <c r="N15" s="19">
        <f t="shared" si="0"/>
        <v>705184254.42000008</v>
      </c>
      <c r="O15" s="19">
        <f t="shared" si="0"/>
        <v>708267119.75</v>
      </c>
      <c r="P15" s="19">
        <f t="shared" si="0"/>
        <v>710789099.23000002</v>
      </c>
      <c r="Q15" s="19">
        <f>Q69-Q90+Q111+Q133+Q154</f>
        <v>710477041</v>
      </c>
      <c r="R15" s="19">
        <f t="shared" ref="R15:R21" si="1">AVERAGE(E15:Q15)</f>
        <v>696999527.73461533</v>
      </c>
      <c r="S15" s="19"/>
      <c r="T15" s="19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</row>
    <row r="16" spans="1:43">
      <c r="A16" s="9">
        <f t="shared" ref="A16:A65" si="2">+A15+1</f>
        <v>2</v>
      </c>
      <c r="B16" s="3"/>
      <c r="C16" s="91" t="s">
        <v>215</v>
      </c>
      <c r="D16" s="1" t="s">
        <v>120</v>
      </c>
      <c r="E16" s="19">
        <f t="shared" ref="E16:Q16" si="3">E70-E91+E112+E134+E155</f>
        <v>254872602.56999999</v>
      </c>
      <c r="F16" s="19">
        <f t="shared" si="3"/>
        <v>272567593.89999998</v>
      </c>
      <c r="G16" s="19">
        <f t="shared" si="3"/>
        <v>271606458.27999997</v>
      </c>
      <c r="H16" s="19">
        <f t="shared" si="3"/>
        <v>267818142.01999998</v>
      </c>
      <c r="I16" s="19">
        <f t="shared" si="3"/>
        <v>271332275.44</v>
      </c>
      <c r="J16" s="19">
        <f t="shared" si="3"/>
        <v>268663604.31</v>
      </c>
      <c r="K16" s="19">
        <f t="shared" si="3"/>
        <v>272723633.76999998</v>
      </c>
      <c r="L16" s="19">
        <f t="shared" si="3"/>
        <v>280232718.36000001</v>
      </c>
      <c r="M16" s="19">
        <f t="shared" si="3"/>
        <v>282446416.08999997</v>
      </c>
      <c r="N16" s="19">
        <f t="shared" si="3"/>
        <v>274177002.98999995</v>
      </c>
      <c r="O16" s="19">
        <f t="shared" si="3"/>
        <v>275718244.97999996</v>
      </c>
      <c r="P16" s="19">
        <f t="shared" si="3"/>
        <v>279845333.42000002</v>
      </c>
      <c r="Q16" s="19">
        <f t="shared" si="3"/>
        <v>277787055</v>
      </c>
      <c r="R16" s="19">
        <f t="shared" si="1"/>
        <v>273060852.39461541</v>
      </c>
      <c r="T16" s="19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</row>
    <row r="17" spans="1:43">
      <c r="A17" s="9">
        <f t="shared" si="2"/>
        <v>3</v>
      </c>
      <c r="B17" s="3"/>
      <c r="C17" s="91" t="s">
        <v>216</v>
      </c>
      <c r="D17" s="1" t="s">
        <v>121</v>
      </c>
      <c r="E17" s="19">
        <f t="shared" ref="E17:Q17" si="4">E71-E92+E113+E135+E156</f>
        <v>487693449.51000005</v>
      </c>
      <c r="F17" s="19">
        <f t="shared" si="4"/>
        <v>494369568.89000005</v>
      </c>
      <c r="G17" s="19">
        <f t="shared" si="4"/>
        <v>495720481.37999994</v>
      </c>
      <c r="H17" s="19">
        <f t="shared" si="4"/>
        <v>490834328.22000003</v>
      </c>
      <c r="I17" s="19">
        <f t="shared" si="4"/>
        <v>499928021.61999995</v>
      </c>
      <c r="J17" s="19">
        <f t="shared" si="4"/>
        <v>504966970.84000003</v>
      </c>
      <c r="K17" s="19">
        <f t="shared" si="4"/>
        <v>501773195.40000004</v>
      </c>
      <c r="L17" s="19">
        <f t="shared" si="4"/>
        <v>508045728.52000004</v>
      </c>
      <c r="M17" s="19">
        <f t="shared" si="4"/>
        <v>509553622.30000019</v>
      </c>
      <c r="N17" s="19">
        <f t="shared" si="4"/>
        <v>504927722.76999986</v>
      </c>
      <c r="O17" s="19">
        <f t="shared" si="4"/>
        <v>510193585.95999998</v>
      </c>
      <c r="P17" s="19">
        <f t="shared" si="4"/>
        <v>511487837.18999988</v>
      </c>
      <c r="Q17" s="19">
        <f t="shared" si="4"/>
        <v>511089759</v>
      </c>
      <c r="R17" s="19">
        <f t="shared" si="1"/>
        <v>502352636.27692306</v>
      </c>
      <c r="T17" s="19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</row>
    <row r="18" spans="1:43">
      <c r="A18" s="9">
        <f t="shared" si="2"/>
        <v>4</v>
      </c>
      <c r="B18" s="3"/>
      <c r="C18" s="91" t="s">
        <v>217</v>
      </c>
      <c r="D18" s="1" t="s">
        <v>455</v>
      </c>
      <c r="E18" s="19">
        <f t="shared" ref="E18:Q18" si="5">E72-E93+E114+E136+E157</f>
        <v>61453596.25</v>
      </c>
      <c r="F18" s="19">
        <f t="shared" si="5"/>
        <v>61719960.189999983</v>
      </c>
      <c r="G18" s="19">
        <f t="shared" si="5"/>
        <v>64927103.000000045</v>
      </c>
      <c r="H18" s="19">
        <f t="shared" si="5"/>
        <v>64835770.410000011</v>
      </c>
      <c r="I18" s="19">
        <f t="shared" si="5"/>
        <v>64831976.359999985</v>
      </c>
      <c r="J18" s="19">
        <f t="shared" si="5"/>
        <v>64866670.010000005</v>
      </c>
      <c r="K18" s="19">
        <f t="shared" si="5"/>
        <v>64498520.590000018</v>
      </c>
      <c r="L18" s="19">
        <f t="shared" si="5"/>
        <v>65039154.110000029</v>
      </c>
      <c r="M18" s="19">
        <f t="shared" si="5"/>
        <v>65360126.050000027</v>
      </c>
      <c r="N18" s="19">
        <f t="shared" si="5"/>
        <v>64865988.830000028</v>
      </c>
      <c r="O18" s="19">
        <f t="shared" si="5"/>
        <v>64755710.840000018</v>
      </c>
      <c r="P18" s="19">
        <f t="shared" si="5"/>
        <v>65707008.159999996</v>
      </c>
      <c r="Q18" s="19">
        <f t="shared" si="5"/>
        <v>66227852.679999992</v>
      </c>
      <c r="R18" s="19">
        <f t="shared" si="1"/>
        <v>64545341.344615392</v>
      </c>
      <c r="T18" s="19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</row>
    <row r="19" spans="1:43">
      <c r="A19" s="9">
        <f t="shared" si="2"/>
        <v>5</v>
      </c>
      <c r="B19" s="3"/>
      <c r="C19" s="91" t="s">
        <v>137</v>
      </c>
      <c r="D19" s="1" t="s">
        <v>442</v>
      </c>
      <c r="E19" s="19">
        <f t="shared" ref="E19:Q19" si="6">E73-E94+E115+E137+E158</f>
        <v>28423892.336431999</v>
      </c>
      <c r="F19" s="19">
        <f t="shared" si="6"/>
        <v>28092794</v>
      </c>
      <c r="G19" s="19">
        <f t="shared" si="6"/>
        <v>27944994</v>
      </c>
      <c r="H19" s="19">
        <f t="shared" si="6"/>
        <v>27334504</v>
      </c>
      <c r="I19" s="19">
        <f t="shared" si="6"/>
        <v>27221760</v>
      </c>
      <c r="J19" s="19">
        <f t="shared" si="6"/>
        <v>27276852</v>
      </c>
      <c r="K19" s="19">
        <f t="shared" si="6"/>
        <v>27484127</v>
      </c>
      <c r="L19" s="19">
        <f t="shared" si="6"/>
        <v>28452034</v>
      </c>
      <c r="M19" s="19">
        <f t="shared" si="6"/>
        <v>28775284</v>
      </c>
      <c r="N19" s="19">
        <f t="shared" si="6"/>
        <v>28845385</v>
      </c>
      <c r="O19" s="19">
        <f t="shared" si="6"/>
        <v>28440132</v>
      </c>
      <c r="P19" s="19">
        <f t="shared" si="6"/>
        <v>28511109</v>
      </c>
      <c r="Q19" s="19">
        <f t="shared" si="6"/>
        <v>28110437</v>
      </c>
      <c r="R19" s="19">
        <f t="shared" si="1"/>
        <v>28070254.179725535</v>
      </c>
      <c r="T19" s="19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</row>
    <row r="20" spans="1:43">
      <c r="A20" s="9">
        <f t="shared" si="2"/>
        <v>6</v>
      </c>
      <c r="B20" s="3"/>
      <c r="C20" s="91" t="s">
        <v>102</v>
      </c>
      <c r="D20" s="1" t="s">
        <v>101</v>
      </c>
      <c r="E20" s="19">
        <f t="shared" ref="E20:P20" si="7">E74-E95+E116+E138+E159</f>
        <v>6862228.2400000002</v>
      </c>
      <c r="F20" s="19">
        <f t="shared" si="7"/>
        <v>6862228.2400000002</v>
      </c>
      <c r="G20" s="19">
        <f t="shared" si="7"/>
        <v>6865992.1900000013</v>
      </c>
      <c r="H20" s="19">
        <f t="shared" si="7"/>
        <v>6979010.620000001</v>
      </c>
      <c r="I20" s="19">
        <f t="shared" si="7"/>
        <v>6990522</v>
      </c>
      <c r="J20" s="19">
        <f t="shared" si="7"/>
        <v>6995634.6900000004</v>
      </c>
      <c r="K20" s="19">
        <f t="shared" si="7"/>
        <v>7471409.2800000012</v>
      </c>
      <c r="L20" s="19">
        <f t="shared" si="7"/>
        <v>6986570.4100000001</v>
      </c>
      <c r="M20" s="19">
        <f t="shared" si="7"/>
        <v>6995906.7600000007</v>
      </c>
      <c r="N20" s="19">
        <f t="shared" si="7"/>
        <v>6859828.3500000015</v>
      </c>
      <c r="O20" s="19">
        <f t="shared" si="7"/>
        <v>6889549.6900000013</v>
      </c>
      <c r="P20" s="19">
        <f t="shared" si="7"/>
        <v>6871488.7700000014</v>
      </c>
      <c r="Q20" s="19">
        <f>Q74-Q95+Q116+Q138+Q159</f>
        <v>6864775.1299999999</v>
      </c>
      <c r="R20" s="19">
        <f t="shared" si="1"/>
        <v>6961164.9515384603</v>
      </c>
      <c r="T20" s="19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</row>
    <row r="21" spans="1:43">
      <c r="A21" s="9">
        <f t="shared" si="2"/>
        <v>7</v>
      </c>
      <c r="B21" s="3"/>
      <c r="C21" s="91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1"/>
        <v>0</v>
      </c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</row>
    <row r="22" spans="1:43">
      <c r="A22" s="9">
        <f t="shared" si="2"/>
        <v>8</v>
      </c>
      <c r="B22" s="3"/>
      <c r="C22" s="90" t="s">
        <v>5</v>
      </c>
      <c r="D22" s="1" t="str">
        <f>"(sum lines "&amp;A15&amp;" - "&amp;A21&amp;")"</f>
        <v>(sum lines 1 - 7)</v>
      </c>
      <c r="E22" s="48">
        <f t="shared" ref="E22:R22" si="8">SUM(E15:E21)</f>
        <v>1524669170.276432</v>
      </c>
      <c r="F22" s="48">
        <f t="shared" si="8"/>
        <v>1554356102.7400002</v>
      </c>
      <c r="G22" s="48">
        <f t="shared" si="8"/>
        <v>1556116920.54</v>
      </c>
      <c r="H22" s="48">
        <f t="shared" si="8"/>
        <v>1544290984.1499999</v>
      </c>
      <c r="I22" s="48">
        <f t="shared" si="8"/>
        <v>1557296181.8299999</v>
      </c>
      <c r="J22" s="48">
        <f t="shared" si="8"/>
        <v>1565943489.8500001</v>
      </c>
      <c r="K22" s="48">
        <f t="shared" si="8"/>
        <v>1566201621.45</v>
      </c>
      <c r="L22" s="48">
        <f t="shared" si="8"/>
        <v>1584055926.0900004</v>
      </c>
      <c r="M22" s="48">
        <f t="shared" si="8"/>
        <v>1600043381.3800001</v>
      </c>
      <c r="N22" s="48">
        <f t="shared" si="8"/>
        <v>1584860182.3599997</v>
      </c>
      <c r="O22" s="48">
        <f t="shared" si="8"/>
        <v>1594264343.22</v>
      </c>
      <c r="P22" s="48">
        <f t="shared" si="8"/>
        <v>1603211875.77</v>
      </c>
      <c r="Q22" s="48">
        <f t="shared" si="8"/>
        <v>1600556919.8100002</v>
      </c>
      <c r="R22" s="48">
        <f t="shared" si="8"/>
        <v>1571989776.8820333</v>
      </c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</row>
    <row r="23" spans="1:43">
      <c r="A23" s="9">
        <f t="shared" si="2"/>
        <v>9</v>
      </c>
      <c r="B23" s="3"/>
      <c r="C23" s="91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</row>
    <row r="24" spans="1:43">
      <c r="A24" s="9">
        <f t="shared" si="2"/>
        <v>10</v>
      </c>
      <c r="B24" s="3"/>
      <c r="C24" s="91" t="s">
        <v>42</v>
      </c>
      <c r="D24" s="1" t="s">
        <v>411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</row>
    <row r="25" spans="1:43">
      <c r="A25" s="9">
        <f t="shared" si="2"/>
        <v>11</v>
      </c>
      <c r="B25" s="3"/>
      <c r="C25" s="91" t="str">
        <f>+C15</f>
        <v xml:space="preserve">  Production</v>
      </c>
      <c r="D25" s="1" t="s">
        <v>407</v>
      </c>
      <c r="E25" s="19">
        <f>+E79-E100+E121-E143+E164</f>
        <v>226175486.68207696</v>
      </c>
      <c r="F25" s="19">
        <f>+F79-F100+F121-F143+F164</f>
        <v>234560684.19999999</v>
      </c>
      <c r="G25" s="19">
        <f t="shared" ref="E25:Q30" si="9">+G79-G100+G121-G143+G164</f>
        <v>233776375.76000002</v>
      </c>
      <c r="H25" s="19">
        <f t="shared" si="9"/>
        <v>231575980.89000002</v>
      </c>
      <c r="I25" s="19">
        <f t="shared" si="9"/>
        <v>233032809.65000001</v>
      </c>
      <c r="J25" s="19">
        <f t="shared" si="9"/>
        <v>234535749.51999998</v>
      </c>
      <c r="K25" s="19">
        <f t="shared" si="9"/>
        <v>233849798.91</v>
      </c>
      <c r="L25" s="19">
        <f t="shared" si="9"/>
        <v>237098008.46999997</v>
      </c>
      <c r="M25" s="19">
        <f t="shared" si="9"/>
        <v>237167445.23000002</v>
      </c>
      <c r="N25" s="19">
        <f t="shared" si="9"/>
        <v>235317329.97000003</v>
      </c>
      <c r="O25" s="19">
        <f t="shared" si="9"/>
        <v>239536076.99000004</v>
      </c>
      <c r="P25" s="19">
        <f t="shared" si="9"/>
        <v>240686402.17999998</v>
      </c>
      <c r="Q25" s="19">
        <f>+Q79-Q100+Q121-Q143+Q164</f>
        <v>237909341.19999999</v>
      </c>
      <c r="R25" s="19">
        <f t="shared" ref="R25:R31" si="10">AVERAGE(E25:Q25)</f>
        <v>235017037.66554436</v>
      </c>
      <c r="S25" s="19"/>
      <c r="T25" s="19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</row>
    <row r="26" spans="1:43">
      <c r="A26" s="9">
        <f t="shared" si="2"/>
        <v>12</v>
      </c>
      <c r="B26" s="3"/>
      <c r="C26" s="91" t="s">
        <v>215</v>
      </c>
      <c r="D26" s="1" t="s">
        <v>122</v>
      </c>
      <c r="E26" s="19">
        <f t="shared" si="9"/>
        <v>48399291.7231718</v>
      </c>
      <c r="F26" s="19">
        <f t="shared" si="9"/>
        <v>49413936.073355496</v>
      </c>
      <c r="G26" s="19">
        <f t="shared" si="9"/>
        <v>49872576.946269497</v>
      </c>
      <c r="H26" s="19">
        <f t="shared" si="9"/>
        <v>46276329.823370501</v>
      </c>
      <c r="I26" s="19">
        <f t="shared" si="9"/>
        <v>50916166.917142496</v>
      </c>
      <c r="J26" s="19">
        <f t="shared" si="9"/>
        <v>51372500.597358003</v>
      </c>
      <c r="K26" s="19">
        <f t="shared" si="9"/>
        <v>47061085.839046486</v>
      </c>
      <c r="L26" s="19">
        <f t="shared" si="9"/>
        <v>52420819.444964498</v>
      </c>
      <c r="M26" s="19">
        <f t="shared" si="9"/>
        <v>52505253.865768999</v>
      </c>
      <c r="N26" s="19">
        <f t="shared" si="9"/>
        <v>44618770.4459185</v>
      </c>
      <c r="O26" s="19">
        <f t="shared" si="9"/>
        <v>46758690.338167496</v>
      </c>
      <c r="P26" s="19">
        <f t="shared" si="9"/>
        <v>47124388.834838502</v>
      </c>
      <c r="Q26" s="19">
        <f t="shared" si="9"/>
        <v>45628607.617588498</v>
      </c>
      <c r="R26" s="19">
        <f t="shared" si="10"/>
        <v>48643724.497458525</v>
      </c>
      <c r="T26" s="19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</row>
    <row r="27" spans="1:43">
      <c r="A27" s="9">
        <f t="shared" si="2"/>
        <v>13</v>
      </c>
      <c r="B27" s="3"/>
      <c r="C27" s="91" t="s">
        <v>216</v>
      </c>
      <c r="D27" s="1" t="s">
        <v>123</v>
      </c>
      <c r="E27" s="19">
        <f t="shared" si="9"/>
        <v>159225519.84756005</v>
      </c>
      <c r="F27" s="19">
        <f t="shared" si="9"/>
        <v>167050083.97000003</v>
      </c>
      <c r="G27" s="19">
        <f t="shared" si="9"/>
        <v>167787751.49000004</v>
      </c>
      <c r="H27" s="19">
        <f t="shared" si="9"/>
        <v>162200846.70999998</v>
      </c>
      <c r="I27" s="19">
        <f t="shared" si="9"/>
        <v>169248352.44999996</v>
      </c>
      <c r="J27" s="19">
        <f t="shared" si="9"/>
        <v>169522253.28</v>
      </c>
      <c r="K27" s="19">
        <f t="shared" si="9"/>
        <v>164578141.15000001</v>
      </c>
      <c r="L27" s="19">
        <f t="shared" si="9"/>
        <v>169257059.00000009</v>
      </c>
      <c r="M27" s="19">
        <f t="shared" si="9"/>
        <v>168472272.14999998</v>
      </c>
      <c r="N27" s="19">
        <f t="shared" si="9"/>
        <v>163769332.99000004</v>
      </c>
      <c r="O27" s="19">
        <f t="shared" si="9"/>
        <v>168596044.13999999</v>
      </c>
      <c r="P27" s="19">
        <f t="shared" si="9"/>
        <v>167413294.66999999</v>
      </c>
      <c r="Q27" s="19">
        <f>+Q81-Q102+Q123-Q145+Q166</f>
        <v>165500499.67000002</v>
      </c>
      <c r="R27" s="19">
        <f>AVERAGE(E27:Q27)</f>
        <v>166355496.27058154</v>
      </c>
      <c r="T27" s="19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</row>
    <row r="28" spans="1:43">
      <c r="A28" s="9">
        <f t="shared" si="2"/>
        <v>14</v>
      </c>
      <c r="B28" s="3"/>
      <c r="C28" s="91" t="str">
        <f>+C18</f>
        <v xml:space="preserve">  General &amp; Intangible</v>
      </c>
      <c r="D28" s="1" t="s">
        <v>443</v>
      </c>
      <c r="E28" s="19">
        <f t="shared" si="9"/>
        <v>27243496.280582614</v>
      </c>
      <c r="F28" s="19">
        <f t="shared" si="9"/>
        <v>24815932.266017627</v>
      </c>
      <c r="G28" s="19">
        <f t="shared" si="9"/>
        <v>25192608.374926157</v>
      </c>
      <c r="H28" s="19">
        <f>+H82-H103+H124-H146+H167</f>
        <v>25146991.505832523</v>
      </c>
      <c r="I28" s="19">
        <f t="shared" si="9"/>
        <v>25559092.61182493</v>
      </c>
      <c r="J28" s="19">
        <f t="shared" si="9"/>
        <v>25819064.455717482</v>
      </c>
      <c r="K28" s="19">
        <f t="shared" si="9"/>
        <v>25567223.873780988</v>
      </c>
      <c r="L28" s="19">
        <f t="shared" si="9"/>
        <v>25725884.15843612</v>
      </c>
      <c r="M28" s="19">
        <f t="shared" si="9"/>
        <v>25738294.442794893</v>
      </c>
      <c r="N28" s="19">
        <f t="shared" si="9"/>
        <v>25441256.187286921</v>
      </c>
      <c r="O28" s="19">
        <f t="shared" si="9"/>
        <v>25648827.372734666</v>
      </c>
      <c r="P28" s="19">
        <f t="shared" si="9"/>
        <v>25972383.872733817</v>
      </c>
      <c r="Q28" s="19">
        <f>+Q82-Q103+Q124-Q146+Q167</f>
        <v>26317690.337369852</v>
      </c>
      <c r="R28" s="19">
        <f>AVERAGE(E28:Q28)</f>
        <v>25706826.595387582</v>
      </c>
      <c r="T28" s="19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</row>
    <row r="29" spans="1:43">
      <c r="A29" s="9">
        <f t="shared" si="2"/>
        <v>15</v>
      </c>
      <c r="B29" s="3"/>
      <c r="C29" s="91" t="s">
        <v>137</v>
      </c>
      <c r="D29" s="1" t="s">
        <v>444</v>
      </c>
      <c r="E29" s="19">
        <f t="shared" si="9"/>
        <v>4090055.7169254255</v>
      </c>
      <c r="F29" s="19">
        <f t="shared" si="9"/>
        <v>4396499</v>
      </c>
      <c r="G29" s="19">
        <f t="shared" si="9"/>
        <v>4770995</v>
      </c>
      <c r="H29" s="19">
        <f t="shared" si="9"/>
        <v>5097631</v>
      </c>
      <c r="I29" s="19">
        <f t="shared" si="9"/>
        <v>5396098</v>
      </c>
      <c r="J29" s="19">
        <f t="shared" si="9"/>
        <v>5570879</v>
      </c>
      <c r="K29" s="19">
        <f t="shared" si="9"/>
        <v>5888830</v>
      </c>
      <c r="L29" s="19">
        <f t="shared" si="9"/>
        <v>5992146</v>
      </c>
      <c r="M29" s="19">
        <f t="shared" si="9"/>
        <v>6327451</v>
      </c>
      <c r="N29" s="19">
        <f t="shared" si="9"/>
        <v>6667700</v>
      </c>
      <c r="O29" s="19">
        <f t="shared" si="9"/>
        <v>8022501</v>
      </c>
      <c r="P29" s="19">
        <f t="shared" si="9"/>
        <v>8361211</v>
      </c>
      <c r="Q29" s="19">
        <f t="shared" si="9"/>
        <v>7469924</v>
      </c>
      <c r="R29" s="19">
        <f>AVERAGE(E29:Q29)</f>
        <v>6003993.9013019558</v>
      </c>
      <c r="T29" s="19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</row>
    <row r="30" spans="1:43">
      <c r="A30" s="9">
        <f t="shared" si="2"/>
        <v>16</v>
      </c>
      <c r="B30" s="3"/>
      <c r="C30" s="91" t="str">
        <f>+C20</f>
        <v xml:space="preserve">  Communication System</v>
      </c>
      <c r="D30" s="1" t="s">
        <v>445</v>
      </c>
      <c r="E30" s="19">
        <f>+E84-E105+E126-E148+E169</f>
        <v>4419430.1150747519</v>
      </c>
      <c r="F30" s="19">
        <f>+F84-F105+F126-F148+F169</f>
        <v>4462046.7850234183</v>
      </c>
      <c r="G30" s="19">
        <f t="shared" si="9"/>
        <v>4504677.2859258354</v>
      </c>
      <c r="H30" s="19">
        <f t="shared" si="9"/>
        <v>4547730.9644960016</v>
      </c>
      <c r="I30" s="19">
        <f t="shared" si="9"/>
        <v>4591063.4553460013</v>
      </c>
      <c r="J30" s="19">
        <f t="shared" si="9"/>
        <v>4634439.7738942523</v>
      </c>
      <c r="K30" s="19">
        <f t="shared" si="9"/>
        <v>4673023.5869982522</v>
      </c>
      <c r="L30" s="19">
        <f t="shared" si="9"/>
        <v>4717361.568234168</v>
      </c>
      <c r="M30" s="19">
        <f t="shared" si="9"/>
        <v>4760724.6398271676</v>
      </c>
      <c r="N30" s="19">
        <f t="shared" si="9"/>
        <v>4702306.4099509176</v>
      </c>
      <c r="O30" s="19">
        <f t="shared" si="9"/>
        <v>4751230.9565408351</v>
      </c>
      <c r="P30" s="19">
        <f t="shared" si="9"/>
        <v>4793918.5461664181</v>
      </c>
      <c r="Q30" s="19">
        <f>+Q84-Q105+Q126-Q148+Q169</f>
        <v>4826786.3999150014</v>
      </c>
      <c r="R30" s="19">
        <f t="shared" si="10"/>
        <v>4644980.0374917714</v>
      </c>
      <c r="T30" s="19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</row>
    <row r="31" spans="1:43">
      <c r="A31" s="9">
        <f t="shared" si="2"/>
        <v>17</v>
      </c>
      <c r="B31" s="3"/>
      <c r="C31" s="91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10"/>
        <v>0</v>
      </c>
      <c r="S31" s="87"/>
      <c r="T31" s="87"/>
      <c r="U31" s="87"/>
      <c r="V31" s="175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</row>
    <row r="32" spans="1:43">
      <c r="A32" s="9">
        <f t="shared" si="2"/>
        <v>18</v>
      </c>
      <c r="B32" s="3"/>
      <c r="C32" s="91" t="s">
        <v>7</v>
      </c>
      <c r="D32" s="1" t="str">
        <f>"(sum lines "&amp;A25&amp;" - "&amp;A31&amp;")"</f>
        <v>(sum lines 11 - 17)</v>
      </c>
      <c r="E32" s="48">
        <f>SUM(E25:E31)</f>
        <v>469553280.36539161</v>
      </c>
      <c r="F32" s="48">
        <f>SUM(F25:F31)</f>
        <v>484699182.29439652</v>
      </c>
      <c r="G32" s="48">
        <f t="shared" ref="G32:R32" si="11">SUM(G25:G31)</f>
        <v>485904984.85712147</v>
      </c>
      <c r="H32" s="48">
        <f t="shared" si="11"/>
        <v>474845510.89369905</v>
      </c>
      <c r="I32" s="48">
        <f t="shared" si="11"/>
        <v>488743583.08431333</v>
      </c>
      <c r="J32" s="48">
        <f t="shared" si="11"/>
        <v>491454886.6269697</v>
      </c>
      <c r="K32" s="48">
        <f t="shared" si="11"/>
        <v>481618103.35982573</v>
      </c>
      <c r="L32" s="48">
        <f t="shared" si="11"/>
        <v>495211278.64163482</v>
      </c>
      <c r="M32" s="48">
        <f t="shared" si="11"/>
        <v>494971441.32839113</v>
      </c>
      <c r="N32" s="48">
        <f t="shared" si="11"/>
        <v>480516696.00315642</v>
      </c>
      <c r="O32" s="48">
        <f>SUM(O25:O31)</f>
        <v>493313370.79744303</v>
      </c>
      <c r="P32" s="48">
        <f>SUM(P25:P31)</f>
        <v>494351599.10373867</v>
      </c>
      <c r="Q32" s="48">
        <f>SUM(Q25:Q31)</f>
        <v>487652849.22487336</v>
      </c>
      <c r="R32" s="48">
        <f t="shared" si="11"/>
        <v>486372058.96776581</v>
      </c>
      <c r="S32" s="1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</row>
    <row r="33" spans="1:43">
      <c r="A33" s="9">
        <f t="shared" si="2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</row>
    <row r="34" spans="1:43">
      <c r="A34" s="9">
        <f t="shared" si="2"/>
        <v>20</v>
      </c>
      <c r="B34" s="3"/>
      <c r="C34" s="91" t="s">
        <v>223</v>
      </c>
      <c r="D34" s="1" t="s">
        <v>411</v>
      </c>
      <c r="E34" s="19"/>
      <c r="F34" s="19"/>
      <c r="G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</row>
    <row r="35" spans="1:43">
      <c r="A35" s="9">
        <f t="shared" si="2"/>
        <v>21</v>
      </c>
      <c r="B35" s="3"/>
      <c r="C35" s="91" t="str">
        <f>+C25</f>
        <v xml:space="preserve">  Production</v>
      </c>
      <c r="D35" s="1" t="str">
        <f t="shared" ref="D35:D41" si="12">"(line "&amp;A15&amp;" - line "&amp;A25&amp;")"</f>
        <v>(line 1 - line 11)</v>
      </c>
      <c r="E35" s="19">
        <f t="shared" ref="E35:E41" si="13">+E15-E25</f>
        <v>459187914.68792307</v>
      </c>
      <c r="F35" s="19">
        <f t="shared" ref="F35:Q35" si="14">+F15-F25</f>
        <v>456183273.32000011</v>
      </c>
      <c r="G35" s="19">
        <f t="shared" si="14"/>
        <v>455275515.93000007</v>
      </c>
      <c r="H35" s="19">
        <f t="shared" si="14"/>
        <v>454913247.98999989</v>
      </c>
      <c r="I35" s="19">
        <f t="shared" si="14"/>
        <v>453958816.76000011</v>
      </c>
      <c r="J35" s="19">
        <f t="shared" si="14"/>
        <v>458638008.48000002</v>
      </c>
      <c r="K35" s="19">
        <f t="shared" si="14"/>
        <v>458400936.50000012</v>
      </c>
      <c r="L35" s="19">
        <f t="shared" si="14"/>
        <v>458201712.22000009</v>
      </c>
      <c r="M35" s="19">
        <f t="shared" si="14"/>
        <v>469744580.94999993</v>
      </c>
      <c r="N35" s="19">
        <f t="shared" si="14"/>
        <v>469866924.45000005</v>
      </c>
      <c r="O35" s="19">
        <f t="shared" si="14"/>
        <v>468731042.75999999</v>
      </c>
      <c r="P35" s="19">
        <f t="shared" si="14"/>
        <v>470102697.05000007</v>
      </c>
      <c r="Q35" s="19">
        <f t="shared" si="14"/>
        <v>472567699.80000001</v>
      </c>
      <c r="R35" s="19">
        <f>R15-R25</f>
        <v>461982490.06907094</v>
      </c>
      <c r="S35" s="1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</row>
    <row r="36" spans="1:43">
      <c r="A36" s="9">
        <f t="shared" si="2"/>
        <v>22</v>
      </c>
      <c r="B36" s="3"/>
      <c r="C36" s="91" t="s">
        <v>215</v>
      </c>
      <c r="D36" s="1" t="str">
        <f t="shared" si="12"/>
        <v>(line 2 - line 12)</v>
      </c>
      <c r="E36" s="19">
        <f t="shared" si="13"/>
        <v>206473310.84682819</v>
      </c>
      <c r="F36" s="19">
        <f t="shared" ref="F36:Q41" si="15">+F16-F26</f>
        <v>223153657.82664448</v>
      </c>
      <c r="G36" s="19">
        <f t="shared" si="15"/>
        <v>221733881.33373046</v>
      </c>
      <c r="H36" s="19">
        <f t="shared" si="15"/>
        <v>221541812.19662946</v>
      </c>
      <c r="I36" s="19">
        <f t="shared" si="15"/>
        <v>220416108.52285749</v>
      </c>
      <c r="J36" s="19">
        <f t="shared" si="15"/>
        <v>217291103.71264201</v>
      </c>
      <c r="K36" s="19">
        <f t="shared" si="15"/>
        <v>225662547.9309535</v>
      </c>
      <c r="L36" s="19">
        <f t="shared" si="15"/>
        <v>227811898.91503552</v>
      </c>
      <c r="M36" s="19">
        <f t="shared" si="15"/>
        <v>229941162.22423097</v>
      </c>
      <c r="N36" s="19">
        <f t="shared" si="15"/>
        <v>229558232.54408145</v>
      </c>
      <c r="O36" s="19">
        <f t="shared" si="15"/>
        <v>228959554.64183247</v>
      </c>
      <c r="P36" s="19">
        <f t="shared" si="15"/>
        <v>232720944.58516151</v>
      </c>
      <c r="Q36" s="19">
        <f t="shared" si="15"/>
        <v>232158447.38241151</v>
      </c>
      <c r="R36" s="19">
        <f t="shared" ref="R36:R41" si="16">R16-R26</f>
        <v>224417127.89715689</v>
      </c>
      <c r="S36" s="1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</row>
    <row r="37" spans="1:43">
      <c r="A37" s="9">
        <f t="shared" si="2"/>
        <v>23</v>
      </c>
      <c r="B37" s="3"/>
      <c r="C37" s="91" t="s">
        <v>297</v>
      </c>
      <c r="D37" s="1" t="str">
        <f t="shared" si="12"/>
        <v>(line 3 - line 13)</v>
      </c>
      <c r="E37" s="19">
        <f t="shared" si="13"/>
        <v>328467929.66244</v>
      </c>
      <c r="F37" s="19">
        <f t="shared" si="15"/>
        <v>327319484.92000002</v>
      </c>
      <c r="G37" s="19">
        <f t="shared" si="15"/>
        <v>327932729.88999987</v>
      </c>
      <c r="H37" s="19">
        <f t="shared" si="15"/>
        <v>328633481.51000005</v>
      </c>
      <c r="I37" s="19">
        <f t="shared" si="15"/>
        <v>330679669.16999996</v>
      </c>
      <c r="J37" s="19">
        <f t="shared" si="15"/>
        <v>335444717.56000006</v>
      </c>
      <c r="K37" s="19">
        <f t="shared" si="15"/>
        <v>337195054.25</v>
      </c>
      <c r="L37" s="19">
        <f t="shared" si="15"/>
        <v>338788669.51999998</v>
      </c>
      <c r="M37" s="19">
        <f t="shared" si="15"/>
        <v>341081350.15000021</v>
      </c>
      <c r="N37" s="19">
        <f t="shared" si="15"/>
        <v>341158389.77999985</v>
      </c>
      <c r="O37" s="19">
        <f t="shared" si="15"/>
        <v>341597541.81999999</v>
      </c>
      <c r="P37" s="19">
        <f t="shared" si="15"/>
        <v>344074542.51999986</v>
      </c>
      <c r="Q37" s="19">
        <f t="shared" si="15"/>
        <v>345589259.32999998</v>
      </c>
      <c r="R37" s="19">
        <f t="shared" si="16"/>
        <v>335997140.00634152</v>
      </c>
      <c r="S37" s="1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</row>
    <row r="38" spans="1:43">
      <c r="A38" s="9">
        <f t="shared" si="2"/>
        <v>24</v>
      </c>
      <c r="B38" s="3"/>
      <c r="C38" s="91" t="str">
        <f>+C28</f>
        <v xml:space="preserve">  General &amp; Intangible</v>
      </c>
      <c r="D38" s="1" t="str">
        <f t="shared" si="12"/>
        <v>(line 4 - line 14)</v>
      </c>
      <c r="E38" s="19">
        <f t="shared" si="13"/>
        <v>34210099.969417386</v>
      </c>
      <c r="F38" s="19">
        <f t="shared" si="15"/>
        <v>36904027.923982352</v>
      </c>
      <c r="G38" s="19">
        <f t="shared" si="15"/>
        <v>39734494.625073887</v>
      </c>
      <c r="H38" s="19">
        <f t="shared" si="15"/>
        <v>39688778.904167488</v>
      </c>
      <c r="I38" s="19">
        <f t="shared" si="15"/>
        <v>39272883.748175055</v>
      </c>
      <c r="J38" s="19">
        <f t="shared" si="15"/>
        <v>39047605.554282524</v>
      </c>
      <c r="K38" s="19">
        <f t="shared" si="15"/>
        <v>38931296.71621903</v>
      </c>
      <c r="L38" s="19">
        <f t="shared" si="15"/>
        <v>39313269.95156391</v>
      </c>
      <c r="M38" s="19">
        <f t="shared" si="15"/>
        <v>39621831.607205138</v>
      </c>
      <c r="N38" s="19">
        <f t="shared" si="15"/>
        <v>39424732.642713107</v>
      </c>
      <c r="O38" s="19">
        <f t="shared" si="15"/>
        <v>39106883.467265353</v>
      </c>
      <c r="P38" s="19">
        <f t="shared" si="15"/>
        <v>39734624.28726618</v>
      </c>
      <c r="Q38" s="19">
        <f t="shared" si="15"/>
        <v>39910162.34263014</v>
      </c>
      <c r="R38" s="19">
        <f t="shared" si="16"/>
        <v>38838514.749227807</v>
      </c>
      <c r="S38" s="1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</row>
    <row r="39" spans="1:43">
      <c r="A39" s="9">
        <f t="shared" si="2"/>
        <v>25</v>
      </c>
      <c r="B39" s="3"/>
      <c r="C39" s="91" t="s">
        <v>137</v>
      </c>
      <c r="D39" s="1" t="str">
        <f t="shared" si="12"/>
        <v>(line 5 - line 15)</v>
      </c>
      <c r="E39" s="19">
        <f t="shared" si="13"/>
        <v>24333836.619506575</v>
      </c>
      <c r="F39" s="19">
        <f t="shared" si="15"/>
        <v>23696295</v>
      </c>
      <c r="G39" s="19">
        <f t="shared" si="15"/>
        <v>23173999</v>
      </c>
      <c r="H39" s="19">
        <f t="shared" si="15"/>
        <v>22236873</v>
      </c>
      <c r="I39" s="19">
        <f t="shared" si="15"/>
        <v>21825662</v>
      </c>
      <c r="J39" s="19">
        <f t="shared" si="15"/>
        <v>21705973</v>
      </c>
      <c r="K39" s="19">
        <f t="shared" si="15"/>
        <v>21595297</v>
      </c>
      <c r="L39" s="19">
        <f t="shared" si="15"/>
        <v>22459888</v>
      </c>
      <c r="M39" s="19">
        <f t="shared" si="15"/>
        <v>22447833</v>
      </c>
      <c r="N39" s="19">
        <f t="shared" si="15"/>
        <v>22177685</v>
      </c>
      <c r="O39" s="19">
        <f t="shared" si="15"/>
        <v>20417631</v>
      </c>
      <c r="P39" s="19">
        <f t="shared" si="15"/>
        <v>20149898</v>
      </c>
      <c r="Q39" s="19">
        <f t="shared" si="15"/>
        <v>20640513</v>
      </c>
      <c r="R39" s="19">
        <f t="shared" si="16"/>
        <v>22066260.278423578</v>
      </c>
      <c r="S39" s="1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</row>
    <row r="40" spans="1:43">
      <c r="A40" s="9">
        <f t="shared" si="2"/>
        <v>26</v>
      </c>
      <c r="B40" s="3"/>
      <c r="C40" s="91" t="str">
        <f>+C30</f>
        <v xml:space="preserve">  Communication System</v>
      </c>
      <c r="D40" s="1" t="str">
        <f t="shared" si="12"/>
        <v>(line 6 - line 16)</v>
      </c>
      <c r="E40" s="19">
        <f t="shared" si="13"/>
        <v>2442798.1249252483</v>
      </c>
      <c r="F40" s="19">
        <f t="shared" si="15"/>
        <v>2400181.454976582</v>
      </c>
      <c r="G40" s="19">
        <f t="shared" si="15"/>
        <v>2361314.904074166</v>
      </c>
      <c r="H40" s="19">
        <f t="shared" si="15"/>
        <v>2431279.6555039994</v>
      </c>
      <c r="I40" s="19">
        <f t="shared" si="15"/>
        <v>2399458.5446539987</v>
      </c>
      <c r="J40" s="19">
        <f t="shared" si="15"/>
        <v>2361194.9161057482</v>
      </c>
      <c r="K40" s="19">
        <f t="shared" si="15"/>
        <v>2798385.693001749</v>
      </c>
      <c r="L40" s="19">
        <f t="shared" si="15"/>
        <v>2269208.8417658322</v>
      </c>
      <c r="M40" s="19">
        <f t="shared" si="15"/>
        <v>2235182.1201728331</v>
      </c>
      <c r="N40" s="19">
        <f t="shared" si="15"/>
        <v>2157521.9400490839</v>
      </c>
      <c r="O40" s="19">
        <f t="shared" si="15"/>
        <v>2138318.7334591663</v>
      </c>
      <c r="P40" s="19">
        <f t="shared" si="15"/>
        <v>2077570.2238335833</v>
      </c>
      <c r="Q40" s="19">
        <f>+Q20-Q30</f>
        <v>2037988.7300849985</v>
      </c>
      <c r="R40" s="19">
        <f t="shared" si="16"/>
        <v>2316184.9140466889</v>
      </c>
      <c r="S40" s="1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</row>
    <row r="41" spans="1:43">
      <c r="A41" s="9">
        <f t="shared" si="2"/>
        <v>27</v>
      </c>
      <c r="B41" s="3"/>
      <c r="C41" s="91" t="str">
        <f>+C31</f>
        <v xml:space="preserve">  Common</v>
      </c>
      <c r="D41" s="1" t="str">
        <f t="shared" si="12"/>
        <v>(line 7 - line 17)</v>
      </c>
      <c r="E41" s="19">
        <f t="shared" si="13"/>
        <v>0</v>
      </c>
      <c r="F41" s="19">
        <f t="shared" si="15"/>
        <v>0</v>
      </c>
      <c r="G41" s="19">
        <f t="shared" si="15"/>
        <v>0</v>
      </c>
      <c r="H41" s="19">
        <f t="shared" si="15"/>
        <v>0</v>
      </c>
      <c r="I41" s="19">
        <f t="shared" si="15"/>
        <v>0</v>
      </c>
      <c r="J41" s="19">
        <f t="shared" si="15"/>
        <v>0</v>
      </c>
      <c r="K41" s="19">
        <f t="shared" si="15"/>
        <v>0</v>
      </c>
      <c r="L41" s="19">
        <f t="shared" si="15"/>
        <v>0</v>
      </c>
      <c r="M41" s="19">
        <f t="shared" si="15"/>
        <v>0</v>
      </c>
      <c r="N41" s="19">
        <f t="shared" si="15"/>
        <v>0</v>
      </c>
      <c r="O41" s="19">
        <f t="shared" si="15"/>
        <v>0</v>
      </c>
      <c r="P41" s="19">
        <f t="shared" si="15"/>
        <v>0</v>
      </c>
      <c r="Q41" s="19">
        <f t="shared" si="15"/>
        <v>0</v>
      </c>
      <c r="R41" s="46">
        <f t="shared" si="16"/>
        <v>0</v>
      </c>
      <c r="S41" s="1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</row>
    <row r="42" spans="1:43">
      <c r="A42" s="9">
        <f t="shared" si="2"/>
        <v>28</v>
      </c>
      <c r="B42" s="3"/>
      <c r="C42" s="91" t="s">
        <v>6</v>
      </c>
      <c r="D42" s="1" t="str">
        <f>"(sum lines "&amp;A35&amp;" - "&amp;A41&amp;")"</f>
        <v>(sum lines 21 - 27)</v>
      </c>
      <c r="E42" s="48">
        <f>SUM(E35:E41)</f>
        <v>1055115889.9110404</v>
      </c>
      <c r="F42" s="48">
        <f t="shared" ref="F42:Q42" si="17">SUM(F35:F41)</f>
        <v>1069656920.4456036</v>
      </c>
      <c r="G42" s="48">
        <f t="shared" si="17"/>
        <v>1070211935.6828785</v>
      </c>
      <c r="H42" s="48">
        <f t="shared" si="17"/>
        <v>1069445473.2563008</v>
      </c>
      <c r="I42" s="48">
        <f t="shared" si="17"/>
        <v>1068552598.7456867</v>
      </c>
      <c r="J42" s="48">
        <f t="shared" si="17"/>
        <v>1074488603.2230303</v>
      </c>
      <c r="K42" s="48">
        <f t="shared" si="17"/>
        <v>1084583518.0901744</v>
      </c>
      <c r="L42" s="48">
        <f t="shared" si="17"/>
        <v>1088844647.4483654</v>
      </c>
      <c r="M42" s="48">
        <f t="shared" si="17"/>
        <v>1105071940.051609</v>
      </c>
      <c r="N42" s="48">
        <f t="shared" si="17"/>
        <v>1104343486.3568437</v>
      </c>
      <c r="O42" s="48">
        <f t="shared" si="17"/>
        <v>1100950972.4225571</v>
      </c>
      <c r="P42" s="48">
        <f t="shared" si="17"/>
        <v>1108860276.6662612</v>
      </c>
      <c r="Q42" s="48">
        <f t="shared" si="17"/>
        <v>1112904070.5851266</v>
      </c>
      <c r="R42" s="48">
        <f>SUM(R35:R41)</f>
        <v>1085617717.9142673</v>
      </c>
      <c r="S42" s="1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</row>
    <row r="43" spans="1:43">
      <c r="A43" s="9"/>
      <c r="B43" s="3"/>
      <c r="C43" s="91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</row>
    <row r="44" spans="1:43">
      <c r="A44" s="9"/>
      <c r="B44" s="3"/>
      <c r="C44" s="91" t="s">
        <v>412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</row>
    <row r="45" spans="1:43" ht="18">
      <c r="A45" s="9"/>
      <c r="B45" s="3"/>
      <c r="C45" s="90" t="s">
        <v>413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</row>
    <row r="46" spans="1:43">
      <c r="A46" s="9"/>
      <c r="B46" s="3"/>
      <c r="C46" s="9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</row>
    <row r="47" spans="1:43" ht="23.25">
      <c r="A47" s="9"/>
      <c r="B47" s="3"/>
      <c r="C47" s="91"/>
      <c r="D47" s="1"/>
      <c r="E47" s="69" t="s">
        <v>461</v>
      </c>
      <c r="F47" s="1"/>
      <c r="G47" s="1"/>
      <c r="H47" s="86"/>
      <c r="I47" s="91"/>
      <c r="J47" s="1"/>
      <c r="S47" s="1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</row>
    <row r="48" spans="1:43">
      <c r="A48" s="9">
        <f>+A42+1</f>
        <v>29</v>
      </c>
      <c r="B48" s="3"/>
      <c r="C48" s="3"/>
      <c r="D48" s="1"/>
      <c r="E48" s="70" t="s">
        <v>26</v>
      </c>
      <c r="F48" s="70" t="s">
        <v>27</v>
      </c>
      <c r="G48" s="70" t="s">
        <v>28</v>
      </c>
      <c r="H48" s="70"/>
      <c r="I48" s="3"/>
      <c r="J48" s="3"/>
      <c r="K48" s="3"/>
      <c r="L48" s="3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1:36">
      <c r="A49" s="9">
        <f t="shared" si="2"/>
        <v>30</v>
      </c>
      <c r="B49" s="3"/>
      <c r="C49" s="90" t="s">
        <v>408</v>
      </c>
      <c r="D49" s="1"/>
      <c r="E49" s="71">
        <v>44531</v>
      </c>
      <c r="F49" s="71">
        <v>44896</v>
      </c>
      <c r="G49" s="1" t="s">
        <v>40</v>
      </c>
      <c r="H49" s="71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</row>
    <row r="50" spans="1:36">
      <c r="A50" s="9">
        <f t="shared" si="2"/>
        <v>31</v>
      </c>
      <c r="B50" s="3"/>
      <c r="C50" s="91" t="s">
        <v>269</v>
      </c>
      <c r="D50" s="1" t="s">
        <v>401</v>
      </c>
      <c r="E50" s="19">
        <v>0</v>
      </c>
      <c r="F50" s="19">
        <v>0</v>
      </c>
      <c r="G50" s="19">
        <f t="shared" ref="G50:G55" si="18">(+E50+F50)/2</f>
        <v>0</v>
      </c>
      <c r="H50" s="19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</row>
    <row r="51" spans="1:36">
      <c r="A51" s="9">
        <f t="shared" si="2"/>
        <v>32</v>
      </c>
      <c r="B51" s="3"/>
      <c r="C51" s="91" t="s">
        <v>270</v>
      </c>
      <c r="D51" s="1" t="s">
        <v>402</v>
      </c>
      <c r="E51" s="19">
        <v>-139177648.6375857</v>
      </c>
      <c r="F51" s="19">
        <v>-151660421.26967996</v>
      </c>
      <c r="G51" s="19">
        <f t="shared" si="18"/>
        <v>-145419034.95363283</v>
      </c>
      <c r="H51" s="91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1:36">
      <c r="A52" s="9">
        <f>+A51+1</f>
        <v>33</v>
      </c>
      <c r="B52" s="3"/>
      <c r="C52" s="91" t="s">
        <v>271</v>
      </c>
      <c r="D52" s="1" t="s">
        <v>403</v>
      </c>
      <c r="E52" s="46">
        <v>-18955496</v>
      </c>
      <c r="F52" s="46">
        <v>-17870601</v>
      </c>
      <c r="G52" s="19">
        <f t="shared" si="18"/>
        <v>-18413048.5</v>
      </c>
      <c r="H52" s="91"/>
      <c r="J52" s="1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1:36">
      <c r="A53" s="9">
        <f>+A52+1</f>
        <v>34</v>
      </c>
      <c r="B53" s="3"/>
      <c r="C53" s="91" t="s">
        <v>273</v>
      </c>
      <c r="D53" s="1" t="s">
        <v>404</v>
      </c>
      <c r="E53" s="46">
        <v>37459191</v>
      </c>
      <c r="F53" s="46">
        <v>44839608</v>
      </c>
      <c r="G53" s="19">
        <f t="shared" si="18"/>
        <v>41149399.5</v>
      </c>
      <c r="H53" s="91"/>
      <c r="J53" s="1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1:36">
      <c r="A54" s="9">
        <f>+A53+1</f>
        <v>35</v>
      </c>
      <c r="B54" s="3"/>
      <c r="C54" s="3" t="s">
        <v>272</v>
      </c>
      <c r="D54" s="1" t="s">
        <v>446</v>
      </c>
      <c r="E54" s="46"/>
      <c r="F54" s="46"/>
      <c r="G54" s="19">
        <f t="shared" si="18"/>
        <v>0</v>
      </c>
      <c r="H54" s="1"/>
      <c r="J54" s="1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1:36">
      <c r="A55" s="9">
        <f t="shared" si="2"/>
        <v>36</v>
      </c>
      <c r="B55" s="3"/>
      <c r="C55" s="91" t="s">
        <v>292</v>
      </c>
      <c r="D55" s="3" t="s">
        <v>447</v>
      </c>
      <c r="E55" s="266">
        <v>-92953662</v>
      </c>
      <c r="F55" s="266">
        <v>-90060890.476761937</v>
      </c>
      <c r="G55" s="266">
        <f t="shared" si="18"/>
        <v>-91507276.238380969</v>
      </c>
      <c r="H55" s="91"/>
      <c r="J55" s="1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</row>
    <row r="56" spans="1:36">
      <c r="A56" s="9">
        <f t="shared" si="2"/>
        <v>37</v>
      </c>
      <c r="B56" s="3"/>
      <c r="C56" s="91" t="s">
        <v>8</v>
      </c>
      <c r="D56" s="1" t="str">
        <f>"(sum lines "&amp;A50&amp;" - "&amp;A55&amp;")"</f>
        <v>(sum lines 31 - 36)</v>
      </c>
      <c r="E56" s="19">
        <f>SUM(E50:E55)</f>
        <v>-213627615.6375857</v>
      </c>
      <c r="F56" s="19">
        <f>SUM(F50:F55)</f>
        <v>-214752304.7464419</v>
      </c>
      <c r="G56" s="19">
        <f>SUM(G50:G55)</f>
        <v>-214189960.1920138</v>
      </c>
      <c r="H56" s="1"/>
      <c r="J56" s="1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</row>
    <row r="57" spans="1:36">
      <c r="A57" s="9">
        <f t="shared" si="2"/>
        <v>38</v>
      </c>
      <c r="B57" s="3"/>
      <c r="C57" s="3"/>
      <c r="D57" s="1"/>
      <c r="E57" s="19"/>
      <c r="F57" s="19"/>
      <c r="G57" s="19"/>
      <c r="H57" s="1"/>
      <c r="I57" s="1"/>
      <c r="J57" s="1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</row>
    <row r="58" spans="1:36">
      <c r="A58" s="9">
        <f t="shared" si="2"/>
        <v>39</v>
      </c>
      <c r="B58" s="3"/>
      <c r="C58" s="90" t="s">
        <v>230</v>
      </c>
      <c r="D58" s="1" t="s">
        <v>299</v>
      </c>
      <c r="E58" s="19"/>
      <c r="G58" s="19">
        <f>(+E58+F58)/2</f>
        <v>0</v>
      </c>
      <c r="H58" s="1"/>
      <c r="I58" s="1"/>
      <c r="J58" s="1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</row>
    <row r="59" spans="1:36">
      <c r="A59" s="9">
        <f t="shared" si="2"/>
        <v>40</v>
      </c>
      <c r="B59" s="3"/>
      <c r="C59" s="91"/>
      <c r="D59" s="1"/>
      <c r="E59" s="19"/>
      <c r="G59" s="19"/>
      <c r="H59" s="1"/>
      <c r="I59" s="1"/>
      <c r="J59" s="1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</row>
    <row r="60" spans="1:36">
      <c r="A60" s="9">
        <f t="shared" si="2"/>
        <v>41</v>
      </c>
      <c r="B60" s="3"/>
      <c r="C60" s="91" t="s">
        <v>414</v>
      </c>
      <c r="D60" s="1"/>
      <c r="E60" s="19"/>
      <c r="F60" s="19"/>
      <c r="G60" s="19"/>
      <c r="H60" s="1"/>
      <c r="I60" s="1"/>
      <c r="J60" s="1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</row>
    <row r="61" spans="1:36">
      <c r="A61" s="9">
        <f t="shared" si="2"/>
        <v>42</v>
      </c>
      <c r="B61" s="3"/>
      <c r="C61" s="91"/>
      <c r="D61" s="3"/>
      <c r="E61" s="19"/>
      <c r="F61" s="19"/>
      <c r="G61" s="19"/>
      <c r="H61" s="1"/>
      <c r="I61" s="1"/>
      <c r="J61" s="1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</row>
    <row r="62" spans="1:36">
      <c r="A62" s="9">
        <f t="shared" si="2"/>
        <v>43</v>
      </c>
      <c r="B62" s="3"/>
      <c r="C62" s="91" t="s">
        <v>358</v>
      </c>
      <c r="D62" s="1" t="s">
        <v>134</v>
      </c>
      <c r="E62" s="46">
        <v>6594612</v>
      </c>
      <c r="F62" s="46">
        <v>7829590</v>
      </c>
      <c r="G62" s="19">
        <f>(+E62+F62)/2</f>
        <v>7212101</v>
      </c>
      <c r="H62" s="91"/>
      <c r="J62" s="1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</row>
    <row r="63" spans="1:36">
      <c r="A63" s="9">
        <f t="shared" si="2"/>
        <v>44</v>
      </c>
      <c r="B63" s="3"/>
      <c r="C63" s="91" t="s">
        <v>358</v>
      </c>
      <c r="D63" s="1" t="s">
        <v>133</v>
      </c>
      <c r="E63" s="46">
        <v>21348.083873841406</v>
      </c>
      <c r="F63" s="46">
        <v>27554</v>
      </c>
      <c r="G63" s="19">
        <f>(+E63+F63)/2</f>
        <v>24451.041936920701</v>
      </c>
      <c r="H63" s="91"/>
      <c r="J63" s="1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</row>
    <row r="64" spans="1:36">
      <c r="A64" s="9">
        <f t="shared" si="2"/>
        <v>45</v>
      </c>
      <c r="B64" s="3"/>
      <c r="C64" s="91" t="s">
        <v>274</v>
      </c>
      <c r="D64" s="1" t="s">
        <v>74</v>
      </c>
      <c r="E64" s="46">
        <v>4525712</v>
      </c>
      <c r="F64" s="46">
        <v>3992256</v>
      </c>
      <c r="G64" s="19">
        <f>(+E64+F64)/2</f>
        <v>4258984</v>
      </c>
      <c r="H64" s="91"/>
      <c r="J64" s="1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</row>
    <row r="65" spans="1:36">
      <c r="A65" s="9">
        <f t="shared" si="2"/>
        <v>46</v>
      </c>
      <c r="B65" s="3"/>
      <c r="C65" s="91" t="s">
        <v>9</v>
      </c>
      <c r="D65" s="1" t="str">
        <f>"(sum lines "&amp;A61&amp;" - "&amp;A64&amp;")"</f>
        <v>(sum lines 42 - 45)</v>
      </c>
      <c r="E65" s="48">
        <f>SUM(E62:E64)</f>
        <v>11141672.083873842</v>
      </c>
      <c r="F65" s="48">
        <f>SUM(F62:F64)</f>
        <v>11849400</v>
      </c>
      <c r="G65" s="48">
        <f>SUM(G62:G64)</f>
        <v>11495536.041936921</v>
      </c>
      <c r="H65" s="72"/>
      <c r="I65" s="72"/>
      <c r="J65" s="1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</row>
    <row r="66" spans="1:36">
      <c r="R66" s="87"/>
    </row>
    <row r="67" spans="1:36">
      <c r="R67" s="87"/>
    </row>
    <row r="68" spans="1:36">
      <c r="C68" s="274" t="s">
        <v>41</v>
      </c>
      <c r="D68" s="304" t="s">
        <v>449</v>
      </c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87"/>
    </row>
    <row r="69" spans="1:36">
      <c r="C69" s="274" t="s">
        <v>213</v>
      </c>
      <c r="D69" s="304"/>
      <c r="E69" s="19">
        <v>696607944.44000006</v>
      </c>
      <c r="F69" s="19">
        <v>690743957.5200001</v>
      </c>
      <c r="G69" s="19">
        <v>689051891.69000006</v>
      </c>
      <c r="H69" s="19">
        <v>688336705.87999988</v>
      </c>
      <c r="I69" s="19">
        <v>686991626.41000009</v>
      </c>
      <c r="J69" s="19">
        <v>693173758</v>
      </c>
      <c r="K69" s="19">
        <v>693843193.41000009</v>
      </c>
      <c r="L69" s="19">
        <v>695299720.69000006</v>
      </c>
      <c r="M69" s="19">
        <v>706912026.17999995</v>
      </c>
      <c r="N69" s="19">
        <v>707862427.42000008</v>
      </c>
      <c r="O69" s="19">
        <v>708267119.75</v>
      </c>
      <c r="P69" s="19">
        <v>710789099.23000002</v>
      </c>
      <c r="Q69" s="19">
        <v>713098861</v>
      </c>
      <c r="R69" s="87"/>
      <c r="S69" s="19"/>
      <c r="T69" s="19"/>
    </row>
    <row r="70" spans="1:36">
      <c r="C70" s="274" t="s">
        <v>215</v>
      </c>
      <c r="D70" s="304"/>
      <c r="E70" s="19">
        <v>255072038.59</v>
      </c>
      <c r="F70" s="19">
        <v>272567593.89999998</v>
      </c>
      <c r="G70" s="19">
        <v>271606458.27999997</v>
      </c>
      <c r="H70" s="19">
        <v>271940737.01999998</v>
      </c>
      <c r="I70" s="19">
        <v>271332275.44</v>
      </c>
      <c r="J70" s="19">
        <v>268663604.31</v>
      </c>
      <c r="K70" s="19">
        <v>277567187.76999998</v>
      </c>
      <c r="L70" s="19">
        <v>280232718.36000001</v>
      </c>
      <c r="M70" s="19">
        <v>282446416.08999997</v>
      </c>
      <c r="N70" s="19">
        <v>275777142.98999995</v>
      </c>
      <c r="O70" s="19">
        <v>275718244.97999996</v>
      </c>
      <c r="P70" s="19">
        <v>279845333.42000002</v>
      </c>
      <c r="Q70" s="19">
        <v>279831348</v>
      </c>
      <c r="R70" s="87"/>
      <c r="T70" s="19"/>
    </row>
    <row r="71" spans="1:36">
      <c r="C71" s="274" t="s">
        <v>216</v>
      </c>
      <c r="D71" s="304"/>
      <c r="E71" s="19">
        <v>493632659.54000002</v>
      </c>
      <c r="F71" s="19">
        <v>494369568.89000005</v>
      </c>
      <c r="G71" s="19">
        <v>495720481.37999994</v>
      </c>
      <c r="H71" s="19">
        <v>496944052.22000003</v>
      </c>
      <c r="I71" s="19">
        <v>499928021.61999995</v>
      </c>
      <c r="J71" s="19">
        <v>504966970.84000003</v>
      </c>
      <c r="K71" s="19">
        <v>507233031.40000004</v>
      </c>
      <c r="L71" s="19">
        <v>508045728.52000004</v>
      </c>
      <c r="M71" s="19">
        <v>509553622.30000019</v>
      </c>
      <c r="N71" s="19">
        <v>509318995.76999986</v>
      </c>
      <c r="O71" s="19">
        <v>510193585.95999998</v>
      </c>
      <c r="P71" s="19">
        <v>511487837.18999988</v>
      </c>
      <c r="Q71" s="19">
        <v>513601938</v>
      </c>
      <c r="R71" s="87"/>
      <c r="T71" s="19"/>
    </row>
    <row r="72" spans="1:36">
      <c r="C72" s="274" t="s">
        <v>217</v>
      </c>
      <c r="D72" s="304"/>
      <c r="E72" s="19">
        <v>136999824.86000001</v>
      </c>
      <c r="F72" s="19">
        <v>137264833.47999999</v>
      </c>
      <c r="G72" s="19">
        <v>140471976.29000005</v>
      </c>
      <c r="H72" s="19">
        <v>140380643.70000002</v>
      </c>
      <c r="I72" s="19">
        <v>140376849.65000001</v>
      </c>
      <c r="J72" s="19">
        <v>140419613.33000001</v>
      </c>
      <c r="K72" s="19">
        <v>140046244.85000002</v>
      </c>
      <c r="L72" s="19">
        <v>140586878.37000003</v>
      </c>
      <c r="M72" s="19">
        <v>141022368.06000003</v>
      </c>
      <c r="N72" s="19">
        <v>140671386.65000004</v>
      </c>
      <c r="O72" s="19">
        <v>140618553.44000003</v>
      </c>
      <c r="P72" s="19">
        <v>139629083.37</v>
      </c>
      <c r="Q72" s="19">
        <f>140907885.18+4</f>
        <v>140907889.18000001</v>
      </c>
      <c r="R72" s="87"/>
      <c r="T72" s="19"/>
    </row>
    <row r="73" spans="1:36">
      <c r="C73" s="274" t="s">
        <v>137</v>
      </c>
      <c r="D73" s="304"/>
      <c r="E73" s="19">
        <v>28423892.336431999</v>
      </c>
      <c r="F73" s="19">
        <v>28092794</v>
      </c>
      <c r="G73" s="19">
        <v>27944994</v>
      </c>
      <c r="H73" s="19">
        <v>27334504</v>
      </c>
      <c r="I73" s="19">
        <v>27221760</v>
      </c>
      <c r="J73" s="19">
        <v>27276852</v>
      </c>
      <c r="K73" s="19">
        <v>27484127</v>
      </c>
      <c r="L73" s="19">
        <v>28452034</v>
      </c>
      <c r="M73" s="19">
        <v>28775284</v>
      </c>
      <c r="N73" s="19">
        <v>28845385</v>
      </c>
      <c r="O73" s="19">
        <v>28440132</v>
      </c>
      <c r="P73" s="19">
        <v>28511109</v>
      </c>
      <c r="Q73" s="19">
        <v>28110437</v>
      </c>
      <c r="R73" s="87"/>
      <c r="T73" s="19"/>
    </row>
    <row r="74" spans="1:36">
      <c r="C74" s="274" t="s">
        <v>102</v>
      </c>
      <c r="D74" s="304"/>
      <c r="E74" s="19">
        <v>6862228.2400000002</v>
      </c>
      <c r="F74" s="19">
        <v>6862228.2400000002</v>
      </c>
      <c r="G74" s="19">
        <v>6865992.1900000013</v>
      </c>
      <c r="H74" s="19">
        <v>6979010.620000001</v>
      </c>
      <c r="I74" s="19">
        <v>6990522</v>
      </c>
      <c r="J74" s="19">
        <v>6995634.6900000004</v>
      </c>
      <c r="K74" s="19">
        <v>7471409.2800000012</v>
      </c>
      <c r="L74" s="19">
        <v>6986570.4100000001</v>
      </c>
      <c r="M74" s="19">
        <v>6995906.7600000007</v>
      </c>
      <c r="N74" s="19">
        <v>6866048.3500000015</v>
      </c>
      <c r="O74" s="19">
        <v>6889549.6900000013</v>
      </c>
      <c r="P74" s="19">
        <v>6871488.7700000014</v>
      </c>
      <c r="Q74" s="19">
        <f>6870993.13+2</f>
        <v>6870995.1299999999</v>
      </c>
      <c r="R74" s="87"/>
      <c r="T74" s="19"/>
    </row>
    <row r="75" spans="1:36">
      <c r="C75" s="274" t="s">
        <v>219</v>
      </c>
      <c r="D75" s="304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87"/>
    </row>
    <row r="76" spans="1:36">
      <c r="C76" s="276" t="s">
        <v>5</v>
      </c>
      <c r="D76" s="304"/>
      <c r="E76" s="48">
        <f>SUM(E69:E75)</f>
        <v>1617598588.0064323</v>
      </c>
      <c r="F76" s="48">
        <f>SUM(F69:F75)</f>
        <v>1629900976.0300002</v>
      </c>
      <c r="G76" s="48">
        <f t="shared" ref="G76:Q76" si="19">SUM(G69:G75)</f>
        <v>1631661793.8299999</v>
      </c>
      <c r="H76" s="48">
        <f t="shared" si="19"/>
        <v>1631915653.4399998</v>
      </c>
      <c r="I76" s="48">
        <f t="shared" si="19"/>
        <v>1632841055.1200001</v>
      </c>
      <c r="J76" s="48">
        <f t="shared" si="19"/>
        <v>1641496433.1700001</v>
      </c>
      <c r="K76" s="48">
        <f t="shared" si="19"/>
        <v>1653645193.7100003</v>
      </c>
      <c r="L76" s="48">
        <f t="shared" si="19"/>
        <v>1659603650.3500004</v>
      </c>
      <c r="M76" s="48">
        <f t="shared" si="19"/>
        <v>1675705623.3900001</v>
      </c>
      <c r="N76" s="48">
        <f t="shared" si="19"/>
        <v>1669341386.1799998</v>
      </c>
      <c r="O76" s="48">
        <f t="shared" si="19"/>
        <v>1670127185.8200002</v>
      </c>
      <c r="P76" s="48">
        <f t="shared" si="19"/>
        <v>1677133950.98</v>
      </c>
      <c r="Q76" s="48">
        <f t="shared" si="19"/>
        <v>1682421468.3100002</v>
      </c>
      <c r="R76" s="87"/>
    </row>
    <row r="77" spans="1:36">
      <c r="C77" s="275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87"/>
    </row>
    <row r="78" spans="1:36">
      <c r="C78" s="274" t="s">
        <v>42</v>
      </c>
      <c r="D78" s="304" t="s">
        <v>449</v>
      </c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87"/>
    </row>
    <row r="79" spans="1:36">
      <c r="C79" s="274" t="s">
        <v>213</v>
      </c>
      <c r="D79" s="275"/>
      <c r="E79" s="19">
        <v>238968080.10999998</v>
      </c>
      <c r="F79" s="19">
        <v>234560684.19999999</v>
      </c>
      <c r="G79" s="19">
        <v>233776375.76000002</v>
      </c>
      <c r="H79" s="19">
        <v>233423457.89000002</v>
      </c>
      <c r="I79" s="19">
        <v>233032809.65000001</v>
      </c>
      <c r="J79" s="19">
        <v>234535749.51999998</v>
      </c>
      <c r="K79" s="19">
        <v>235442256.91</v>
      </c>
      <c r="L79" s="19">
        <v>237098008.46999997</v>
      </c>
      <c r="M79" s="19">
        <v>237167445.23000002</v>
      </c>
      <c r="N79" s="19">
        <v>237995502.97000003</v>
      </c>
      <c r="O79" s="19">
        <v>239536076.99000004</v>
      </c>
      <c r="P79" s="19">
        <v>240686402.17999998</v>
      </c>
      <c r="Q79" s="19">
        <f>240531162.2-1</f>
        <v>240531161.19999999</v>
      </c>
      <c r="R79" s="87"/>
      <c r="S79" s="19"/>
      <c r="T79" s="19"/>
    </row>
    <row r="80" spans="1:36">
      <c r="C80" s="274" t="s">
        <v>215</v>
      </c>
      <c r="D80" s="275"/>
      <c r="E80" s="19">
        <v>47022735.769999996</v>
      </c>
      <c r="F80" s="19">
        <v>47519699.459999993</v>
      </c>
      <c r="G80" s="19">
        <v>47964760.009999998</v>
      </c>
      <c r="H80" s="19">
        <v>48477716.980000004</v>
      </c>
      <c r="I80" s="19">
        <v>48981392.459999993</v>
      </c>
      <c r="J80" s="19">
        <v>49424292.960000001</v>
      </c>
      <c r="K80" s="19">
        <v>49942796.019999988</v>
      </c>
      <c r="L80" s="19">
        <v>50444963.990000002</v>
      </c>
      <c r="M80" s="19">
        <v>50515276.089999996</v>
      </c>
      <c r="N80" s="19">
        <v>44215223.82</v>
      </c>
      <c r="O80" s="19">
        <v>44741217.799999997</v>
      </c>
      <c r="P80" s="19">
        <v>45092924.030000001</v>
      </c>
      <c r="Q80" s="19">
        <f>45627546.46</f>
        <v>45627546.460000001</v>
      </c>
      <c r="R80" s="87"/>
      <c r="T80" s="19"/>
    </row>
    <row r="81" spans="2:31">
      <c r="C81" s="274" t="s">
        <v>216</v>
      </c>
      <c r="D81" s="275"/>
      <c r="E81" s="19">
        <v>166241653.84</v>
      </c>
      <c r="F81" s="19">
        <v>167050083.97000003</v>
      </c>
      <c r="G81" s="19">
        <v>167787751.49000004</v>
      </c>
      <c r="H81" s="19">
        <v>168310570.70999998</v>
      </c>
      <c r="I81" s="19">
        <v>169248352.44999996</v>
      </c>
      <c r="J81" s="19">
        <v>169522253.28</v>
      </c>
      <c r="K81" s="19">
        <v>170037977.15000001</v>
      </c>
      <c r="L81" s="19">
        <v>169257059.00000009</v>
      </c>
      <c r="M81" s="19">
        <v>168472272.14999998</v>
      </c>
      <c r="N81" s="19">
        <v>168160605.99000004</v>
      </c>
      <c r="O81" s="19">
        <v>168596044.13999999</v>
      </c>
      <c r="P81" s="19">
        <v>167413294.66999999</v>
      </c>
      <c r="Q81" s="19">
        <v>168012678.67000002</v>
      </c>
      <c r="R81" s="87"/>
      <c r="T81" s="19"/>
    </row>
    <row r="82" spans="2:31">
      <c r="C82" s="274" t="s">
        <v>217</v>
      </c>
      <c r="D82" s="275"/>
      <c r="E82" s="19">
        <v>27676179.98</v>
      </c>
      <c r="F82" s="19">
        <v>28087189.34</v>
      </c>
      <c r="G82" s="19">
        <v>28471954.07</v>
      </c>
      <c r="H82" s="19">
        <v>28722034.520000007</v>
      </c>
      <c r="I82" s="19">
        <v>29048158.82</v>
      </c>
      <c r="J82" s="19">
        <v>29464012.449999996</v>
      </c>
      <c r="K82" s="19">
        <v>29401984.010000009</v>
      </c>
      <c r="L82" s="19">
        <v>29816702.93</v>
      </c>
      <c r="M82" s="19">
        <v>30109789.510000005</v>
      </c>
      <c r="N82" s="19">
        <v>29863260.859999999</v>
      </c>
      <c r="O82" s="19">
        <v>30096399.18</v>
      </c>
      <c r="P82" s="19">
        <v>28531047.980000004</v>
      </c>
      <c r="Q82" s="19">
        <f>28916188.4+11</f>
        <v>28916199.399999999</v>
      </c>
      <c r="R82" s="87"/>
      <c r="T82" s="19"/>
    </row>
    <row r="83" spans="2:31">
      <c r="C83" s="274" t="str">
        <f>+C73</f>
        <v xml:space="preserve">  Allocated Plant</v>
      </c>
      <c r="D83" s="275"/>
      <c r="E83" s="19">
        <v>4090055.7169254255</v>
      </c>
      <c r="F83" s="19">
        <v>4396499</v>
      </c>
      <c r="G83" s="19">
        <v>4770995</v>
      </c>
      <c r="H83" s="19">
        <v>5097631</v>
      </c>
      <c r="I83" s="19">
        <v>5396098</v>
      </c>
      <c r="J83" s="19">
        <v>5570879</v>
      </c>
      <c r="K83" s="19">
        <v>5888830</v>
      </c>
      <c r="L83" s="19">
        <v>5992146</v>
      </c>
      <c r="M83" s="19">
        <v>6327451</v>
      </c>
      <c r="N83" s="19">
        <v>6667700</v>
      </c>
      <c r="O83" s="19">
        <v>8022501</v>
      </c>
      <c r="P83" s="19">
        <v>8361211</v>
      </c>
      <c r="Q83" s="19">
        <v>7469924</v>
      </c>
      <c r="R83" s="87"/>
      <c r="T83" s="19"/>
    </row>
    <row r="84" spans="2:31">
      <c r="C84" s="274" t="s">
        <v>102</v>
      </c>
      <c r="D84" s="275"/>
      <c r="E84" s="19">
        <v>2608759.98</v>
      </c>
      <c r="F84" s="19">
        <v>2640454.27</v>
      </c>
      <c r="G84" s="19">
        <v>2672156.4</v>
      </c>
      <c r="H84" s="19">
        <v>2704101.82</v>
      </c>
      <c r="I84" s="19">
        <v>2736307.73</v>
      </c>
      <c r="J84" s="19">
        <v>2768549.33</v>
      </c>
      <c r="K84" s="19">
        <v>2795241.1500000004</v>
      </c>
      <c r="L84" s="19">
        <v>2828458.84</v>
      </c>
      <c r="M84" s="19">
        <v>2860686.76</v>
      </c>
      <c r="N84" s="19">
        <v>2797569.9699999997</v>
      </c>
      <c r="O84" s="19">
        <v>2829308.6500000004</v>
      </c>
      <c r="P84" s="19">
        <v>2861059.12</v>
      </c>
      <c r="Q84" s="19">
        <f>2889230.54-10</f>
        <v>2889220.54</v>
      </c>
      <c r="R84" s="87"/>
      <c r="T84" s="19"/>
    </row>
    <row r="85" spans="2:31">
      <c r="C85" s="274" t="str">
        <f>+C75</f>
        <v xml:space="preserve">  Common</v>
      </c>
      <c r="D85" s="275"/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87"/>
    </row>
    <row r="86" spans="2:31">
      <c r="C86" s="274" t="s">
        <v>7</v>
      </c>
      <c r="D86" s="275"/>
      <c r="E86" s="19"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>
        <v>0</v>
      </c>
      <c r="R86" s="87"/>
    </row>
    <row r="87" spans="2:31">
      <c r="C87" s="275"/>
      <c r="D87" s="275"/>
      <c r="E87" s="48">
        <f>SUM(E79:E86)</f>
        <v>486607465.39692551</v>
      </c>
      <c r="F87" s="48">
        <f>SUM(F79:F86)</f>
        <v>484254610.23999995</v>
      </c>
      <c r="G87" s="48">
        <f t="shared" ref="G87:N87" si="20">SUM(G79:G86)</f>
        <v>485443992.73000008</v>
      </c>
      <c r="H87" s="48">
        <f t="shared" si="20"/>
        <v>486735512.91999996</v>
      </c>
      <c r="I87" s="48">
        <f t="shared" si="20"/>
        <v>488443119.10999995</v>
      </c>
      <c r="J87" s="48">
        <f t="shared" si="20"/>
        <v>491285736.53999996</v>
      </c>
      <c r="K87" s="48">
        <f t="shared" si="20"/>
        <v>493509085.24000001</v>
      </c>
      <c r="L87" s="48">
        <f t="shared" si="20"/>
        <v>495437339.23000002</v>
      </c>
      <c r="M87" s="48">
        <f t="shared" si="20"/>
        <v>495452920.73999995</v>
      </c>
      <c r="N87" s="48">
        <f t="shared" si="20"/>
        <v>489699863.61000013</v>
      </c>
      <c r="O87" s="48">
        <f>SUM(O79:O86)</f>
        <v>493821547.75999999</v>
      </c>
      <c r="P87" s="48">
        <f>SUM(P79:P86)</f>
        <v>492945938.98000002</v>
      </c>
      <c r="Q87" s="48">
        <f>SUM(Q79:Q86)</f>
        <v>493446730.26999998</v>
      </c>
      <c r="R87" s="87"/>
    </row>
    <row r="88" spans="2:31">
      <c r="B88" s="278"/>
      <c r="C88" s="280"/>
      <c r="D88" s="280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281"/>
    </row>
    <row r="89" spans="2:31">
      <c r="B89" s="282"/>
      <c r="C89" s="283" t="s">
        <v>41</v>
      </c>
      <c r="D89" s="284" t="s">
        <v>450</v>
      </c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285"/>
    </row>
    <row r="90" spans="2:31">
      <c r="B90" s="282"/>
      <c r="C90" s="283" t="s">
        <v>213</v>
      </c>
      <c r="D90" s="284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285"/>
    </row>
    <row r="91" spans="2:31">
      <c r="B91" s="282"/>
      <c r="C91" s="283" t="s">
        <v>215</v>
      </c>
      <c r="D91" s="284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285"/>
    </row>
    <row r="92" spans="2:31">
      <c r="B92" s="282"/>
      <c r="C92" s="283" t="s">
        <v>216</v>
      </c>
      <c r="D92" s="284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285"/>
      <c r="S92" s="301"/>
    </row>
    <row r="93" spans="2:31">
      <c r="B93" s="282"/>
      <c r="C93" s="283" t="s">
        <v>217</v>
      </c>
      <c r="D93" s="284"/>
      <c r="E93" s="309">
        <v>75546228.610000014</v>
      </c>
      <c r="F93" s="309">
        <v>75544873.290000007</v>
      </c>
      <c r="G93" s="309">
        <v>75544873.290000007</v>
      </c>
      <c r="H93" s="309">
        <v>75544873.290000007</v>
      </c>
      <c r="I93" s="309">
        <v>75544873.290000021</v>
      </c>
      <c r="J93" s="309">
        <v>75552943.320000008</v>
      </c>
      <c r="K93" s="309">
        <v>75547724.260000005</v>
      </c>
      <c r="L93" s="309">
        <v>75547724.260000005</v>
      </c>
      <c r="M93" s="309">
        <v>75662242.010000005</v>
      </c>
      <c r="N93" s="309">
        <v>75805397.820000008</v>
      </c>
      <c r="O93" s="309">
        <v>75862842.600000009</v>
      </c>
      <c r="P93" s="309">
        <v>73922075.210000008</v>
      </c>
      <c r="Q93" s="309">
        <v>74534622.500000015</v>
      </c>
      <c r="R93" s="285"/>
      <c r="S93" s="301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</row>
    <row r="94" spans="2:31">
      <c r="B94" s="282"/>
      <c r="C94" s="283" t="s">
        <v>137</v>
      </c>
      <c r="D94" s="284"/>
      <c r="E94" s="302"/>
      <c r="F94" s="302"/>
      <c r="G94" s="302"/>
      <c r="H94" s="302"/>
      <c r="I94" s="302"/>
      <c r="J94" s="302"/>
      <c r="K94" s="302"/>
      <c r="L94" s="302"/>
      <c r="M94" s="302"/>
      <c r="N94" s="302"/>
      <c r="O94" s="302"/>
      <c r="P94" s="302"/>
      <c r="Q94" s="302"/>
      <c r="R94" s="285"/>
      <c r="S94" s="301"/>
    </row>
    <row r="95" spans="2:31">
      <c r="B95" s="282"/>
      <c r="C95" s="283" t="s">
        <v>102</v>
      </c>
      <c r="D95" s="284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285"/>
      <c r="S95" s="301"/>
    </row>
    <row r="96" spans="2:31">
      <c r="B96" s="282"/>
      <c r="C96" s="283" t="s">
        <v>219</v>
      </c>
      <c r="D96" s="284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285"/>
      <c r="S96" s="301"/>
    </row>
    <row r="97" spans="2:31">
      <c r="B97" s="282"/>
      <c r="C97" s="286" t="s">
        <v>5</v>
      </c>
      <c r="D97" s="284"/>
      <c r="E97" s="296">
        <f>SUM(E90:E96)</f>
        <v>75546228.610000014</v>
      </c>
      <c r="F97" s="296">
        <f t="shared" ref="F97:Q97" si="21">SUM(F90:F96)</f>
        <v>75544873.290000007</v>
      </c>
      <c r="G97" s="296">
        <f t="shared" si="21"/>
        <v>75544873.290000007</v>
      </c>
      <c r="H97" s="296">
        <f t="shared" si="21"/>
        <v>75544873.290000007</v>
      </c>
      <c r="I97" s="296">
        <f t="shared" si="21"/>
        <v>75544873.290000021</v>
      </c>
      <c r="J97" s="296">
        <f t="shared" si="21"/>
        <v>75552943.320000008</v>
      </c>
      <c r="K97" s="296">
        <f t="shared" si="21"/>
        <v>75547724.260000005</v>
      </c>
      <c r="L97" s="296">
        <f t="shared" si="21"/>
        <v>75547724.260000005</v>
      </c>
      <c r="M97" s="296">
        <f t="shared" si="21"/>
        <v>75662242.010000005</v>
      </c>
      <c r="N97" s="296">
        <f t="shared" si="21"/>
        <v>75805397.820000008</v>
      </c>
      <c r="O97" s="296">
        <f t="shared" si="21"/>
        <v>75862842.600000009</v>
      </c>
      <c r="P97" s="296">
        <f t="shared" si="21"/>
        <v>73922075.210000008</v>
      </c>
      <c r="Q97" s="296">
        <f t="shared" si="21"/>
        <v>74534622.500000015</v>
      </c>
      <c r="R97" s="285"/>
      <c r="S97" s="301"/>
    </row>
    <row r="98" spans="2:31">
      <c r="B98" s="282"/>
      <c r="C98" s="284"/>
      <c r="D98" s="284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285"/>
      <c r="S98" s="301"/>
    </row>
    <row r="99" spans="2:31">
      <c r="B99" s="282"/>
      <c r="C99" s="283" t="s">
        <v>42</v>
      </c>
      <c r="D99" s="284" t="s">
        <v>450</v>
      </c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285"/>
      <c r="S99" s="301"/>
    </row>
    <row r="100" spans="2:31">
      <c r="B100" s="282"/>
      <c r="C100" s="283" t="s">
        <v>213</v>
      </c>
      <c r="D100" s="284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285"/>
      <c r="S100" s="301"/>
    </row>
    <row r="101" spans="2:31">
      <c r="B101" s="282"/>
      <c r="C101" s="283" t="s">
        <v>215</v>
      </c>
      <c r="D101" s="284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285"/>
      <c r="S101" s="301"/>
      <c r="T101" s="301"/>
    </row>
    <row r="102" spans="2:31">
      <c r="B102" s="282"/>
      <c r="C102" s="283" t="s">
        <v>216</v>
      </c>
      <c r="D102" s="284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285"/>
      <c r="S102" s="301"/>
      <c r="T102" s="301"/>
    </row>
    <row r="103" spans="2:31">
      <c r="B103" s="282"/>
      <c r="C103" s="283" t="s">
        <v>217</v>
      </c>
      <c r="D103" s="284"/>
      <c r="E103" s="302">
        <v>10644024.921569485</v>
      </c>
      <c r="F103" s="309">
        <v>10928743.658585202</v>
      </c>
      <c r="G103" s="309">
        <v>11134836.585285004</v>
      </c>
      <c r="H103" s="309">
        <v>11384334.838947894</v>
      </c>
      <c r="I103" s="309">
        <v>11608792.928661814</v>
      </c>
      <c r="J103" s="309">
        <v>11849081.831201844</v>
      </c>
      <c r="K103" s="309">
        <v>12079910.118410772</v>
      </c>
      <c r="L103" s="309">
        <v>12306955.407380711</v>
      </c>
      <c r="M103" s="309">
        <v>12534014.23698486</v>
      </c>
      <c r="N103" s="309">
        <v>12759678.874713909</v>
      </c>
      <c r="O103" s="309">
        <v>12986724.515686499</v>
      </c>
      <c r="P103" s="309">
        <v>11448317.470342018</v>
      </c>
      <c r="Q103" s="309">
        <v>11662989.091221647</v>
      </c>
      <c r="R103" s="285"/>
      <c r="S103" s="301"/>
      <c r="T103" s="301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</row>
    <row r="104" spans="2:31">
      <c r="B104" s="282"/>
      <c r="C104" s="283" t="s">
        <v>137</v>
      </c>
      <c r="D104" s="284"/>
      <c r="E104" s="302"/>
      <c r="F104" s="302"/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285"/>
      <c r="T104" s="301"/>
    </row>
    <row r="105" spans="2:31">
      <c r="B105" s="282"/>
      <c r="C105" s="283" t="s">
        <v>102</v>
      </c>
      <c r="D105" s="284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285"/>
      <c r="T105" s="301"/>
    </row>
    <row r="106" spans="2:31">
      <c r="B106" s="282"/>
      <c r="C106" s="283" t="str">
        <f>+C96</f>
        <v xml:space="preserve">  Common</v>
      </c>
      <c r="D106" s="284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285"/>
      <c r="T106" s="301"/>
    </row>
    <row r="107" spans="2:31">
      <c r="B107" s="282"/>
      <c r="C107" s="283" t="s">
        <v>7</v>
      </c>
      <c r="D107" s="284"/>
      <c r="E107" s="296">
        <f>SUM(E100:E106)</f>
        <v>10644024.921569485</v>
      </c>
      <c r="F107" s="296">
        <f t="shared" ref="F107:Q107" si="22">SUM(F100:F106)</f>
        <v>10928743.658585202</v>
      </c>
      <c r="G107" s="296">
        <f t="shared" si="22"/>
        <v>11134836.585285004</v>
      </c>
      <c r="H107" s="296">
        <f t="shared" si="22"/>
        <v>11384334.838947894</v>
      </c>
      <c r="I107" s="296">
        <f t="shared" si="22"/>
        <v>11608792.928661814</v>
      </c>
      <c r="J107" s="296">
        <f t="shared" si="22"/>
        <v>11849081.831201844</v>
      </c>
      <c r="K107" s="296">
        <f t="shared" si="22"/>
        <v>12079910.118410772</v>
      </c>
      <c r="L107" s="296">
        <f t="shared" si="22"/>
        <v>12306955.407380711</v>
      </c>
      <c r="M107" s="296">
        <f t="shared" si="22"/>
        <v>12534014.23698486</v>
      </c>
      <c r="N107" s="296">
        <f t="shared" si="22"/>
        <v>12759678.874713909</v>
      </c>
      <c r="O107" s="296">
        <f t="shared" si="22"/>
        <v>12986724.515686499</v>
      </c>
      <c r="P107" s="296">
        <f t="shared" si="22"/>
        <v>11448317.470342018</v>
      </c>
      <c r="Q107" s="296">
        <f t="shared" si="22"/>
        <v>11662989.091221647</v>
      </c>
      <c r="R107" s="285"/>
      <c r="T107" s="301"/>
    </row>
    <row r="108" spans="2:31">
      <c r="B108" s="288"/>
      <c r="C108" s="294"/>
      <c r="D108" s="292" t="s">
        <v>448</v>
      </c>
      <c r="E108" s="310">
        <v>593444</v>
      </c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Q108" s="312">
        <v>532023</v>
      </c>
      <c r="R108" s="293"/>
      <c r="T108" s="301"/>
    </row>
    <row r="109" spans="2:31">
      <c r="B109" s="278"/>
      <c r="C109" s="280"/>
      <c r="D109" s="280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281"/>
      <c r="T109" s="301"/>
    </row>
    <row r="110" spans="2:31">
      <c r="B110" s="282"/>
      <c r="C110" s="283" t="s">
        <v>41</v>
      </c>
      <c r="D110" s="284" t="s">
        <v>451</v>
      </c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285"/>
      <c r="T110" s="301"/>
    </row>
    <row r="111" spans="2:31">
      <c r="B111" s="282"/>
      <c r="C111" s="283" t="s">
        <v>213</v>
      </c>
      <c r="D111" s="284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285"/>
      <c r="T111" s="301"/>
    </row>
    <row r="112" spans="2:31">
      <c r="B112" s="282"/>
      <c r="C112" s="283" t="s">
        <v>215</v>
      </c>
      <c r="D112" s="284"/>
      <c r="E112" s="302"/>
      <c r="F112" s="302"/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285"/>
      <c r="T112" s="301"/>
    </row>
    <row r="113" spans="2:18">
      <c r="B113" s="282"/>
      <c r="C113" s="283" t="s">
        <v>216</v>
      </c>
      <c r="D113" s="284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285"/>
    </row>
    <row r="114" spans="2:18">
      <c r="B114" s="282"/>
      <c r="C114" s="283" t="s">
        <v>217</v>
      </c>
      <c r="D114" s="284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302"/>
      <c r="P114" s="302"/>
      <c r="Q114" s="302"/>
      <c r="R114" s="285"/>
    </row>
    <row r="115" spans="2:18">
      <c r="B115" s="282"/>
      <c r="C115" s="283" t="s">
        <v>137</v>
      </c>
      <c r="D115" s="284"/>
      <c r="E115" s="302"/>
      <c r="F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285"/>
    </row>
    <row r="116" spans="2:18">
      <c r="B116" s="282"/>
      <c r="C116" s="283" t="s">
        <v>102</v>
      </c>
      <c r="D116" s="284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285"/>
    </row>
    <row r="117" spans="2:18">
      <c r="B117" s="282"/>
      <c r="C117" s="283" t="s">
        <v>219</v>
      </c>
      <c r="D117" s="284"/>
      <c r="E117" s="302"/>
      <c r="F117" s="302"/>
      <c r="G117" s="302"/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285"/>
    </row>
    <row r="118" spans="2:18">
      <c r="B118" s="282"/>
      <c r="C118" s="286" t="s">
        <v>5</v>
      </c>
      <c r="D118" s="284"/>
      <c r="E118" s="296">
        <f>SUM(E111:E117)</f>
        <v>0</v>
      </c>
      <c r="F118" s="296">
        <f t="shared" ref="F118:Q118" si="23">SUM(F111:F117)</f>
        <v>0</v>
      </c>
      <c r="G118" s="296">
        <f t="shared" si="23"/>
        <v>0</v>
      </c>
      <c r="H118" s="296">
        <f t="shared" si="23"/>
        <v>0</v>
      </c>
      <c r="I118" s="296">
        <f t="shared" si="23"/>
        <v>0</v>
      </c>
      <c r="J118" s="296">
        <f t="shared" si="23"/>
        <v>0</v>
      </c>
      <c r="K118" s="296">
        <f t="shared" si="23"/>
        <v>0</v>
      </c>
      <c r="L118" s="296">
        <f t="shared" si="23"/>
        <v>0</v>
      </c>
      <c r="M118" s="296">
        <f t="shared" si="23"/>
        <v>0</v>
      </c>
      <c r="N118" s="296">
        <f t="shared" si="23"/>
        <v>0</v>
      </c>
      <c r="O118" s="296">
        <f t="shared" si="23"/>
        <v>0</v>
      </c>
      <c r="P118" s="296">
        <f t="shared" si="23"/>
        <v>0</v>
      </c>
      <c r="Q118" s="296">
        <f t="shared" si="23"/>
        <v>0</v>
      </c>
      <c r="R118" s="285"/>
    </row>
    <row r="119" spans="2:18">
      <c r="B119" s="282"/>
      <c r="C119" s="284"/>
      <c r="D119" s="284"/>
      <c r="E119" s="302"/>
      <c r="F119" s="302"/>
      <c r="G119" s="302"/>
      <c r="H119" s="302"/>
      <c r="I119" s="302"/>
      <c r="J119" s="302"/>
      <c r="K119" s="302"/>
      <c r="L119" s="302"/>
      <c r="M119" s="302"/>
      <c r="N119" s="302"/>
      <c r="O119" s="302"/>
      <c r="P119" s="302"/>
      <c r="Q119" s="302"/>
      <c r="R119" s="285"/>
    </row>
    <row r="120" spans="2:18">
      <c r="B120" s="282"/>
      <c r="C120" s="283" t="s">
        <v>42</v>
      </c>
      <c r="D120" s="284" t="s">
        <v>451</v>
      </c>
      <c r="E120" s="302"/>
      <c r="F120" s="302"/>
      <c r="G120" s="302"/>
      <c r="H120" s="302"/>
      <c r="I120" s="302"/>
      <c r="J120" s="302"/>
      <c r="K120" s="302"/>
      <c r="L120" s="302"/>
      <c r="M120" s="302"/>
      <c r="N120" s="302"/>
      <c r="O120" s="302"/>
      <c r="P120" s="302"/>
      <c r="Q120" s="302"/>
      <c r="R120" s="285"/>
    </row>
    <row r="121" spans="2:18">
      <c r="B121" s="282"/>
      <c r="C121" s="283" t="s">
        <v>213</v>
      </c>
      <c r="D121" s="284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/>
      <c r="Q121" s="302"/>
      <c r="R121" s="285"/>
    </row>
    <row r="122" spans="2:18">
      <c r="B122" s="282"/>
      <c r="C122" s="283" t="s">
        <v>215</v>
      </c>
      <c r="D122" s="284"/>
      <c r="E122" s="73">
        <v>1880608.2336604986</v>
      </c>
      <c r="F122" s="73">
        <v>1894236.6133554988</v>
      </c>
      <c r="G122" s="73">
        <v>1907816.9362694989</v>
      </c>
      <c r="H122" s="73">
        <v>1921207.8433704991</v>
      </c>
      <c r="I122" s="73">
        <v>1934774.4571424993</v>
      </c>
      <c r="J122" s="73">
        <v>1948207.6373579993</v>
      </c>
      <c r="K122" s="73">
        <v>1961843.8190464992</v>
      </c>
      <c r="L122" s="73">
        <v>1975855.4549644992</v>
      </c>
      <c r="M122" s="73">
        <v>1989977.775768999</v>
      </c>
      <c r="N122" s="73">
        <v>2003686.6259184992</v>
      </c>
      <c r="O122" s="73">
        <v>2017472.538167499</v>
      </c>
      <c r="P122" s="73">
        <v>2031464.8048384991</v>
      </c>
      <c r="Q122" s="73">
        <v>2045354.1575884991</v>
      </c>
      <c r="R122" s="285"/>
    </row>
    <row r="123" spans="2:18">
      <c r="B123" s="282"/>
      <c r="C123" s="283" t="s">
        <v>216</v>
      </c>
      <c r="D123" s="284"/>
      <c r="E123" s="302"/>
      <c r="F123" s="302"/>
      <c r="G123" s="302"/>
      <c r="H123" s="302"/>
      <c r="I123" s="302"/>
      <c r="J123" s="302"/>
      <c r="K123" s="302"/>
      <c r="L123" s="302"/>
      <c r="M123" s="302"/>
      <c r="N123" s="302"/>
      <c r="O123" s="302"/>
      <c r="P123" s="302"/>
      <c r="Q123" s="302"/>
      <c r="R123" s="285"/>
    </row>
    <row r="124" spans="2:18">
      <c r="B124" s="282"/>
      <c r="C124" s="283" t="s">
        <v>217</v>
      </c>
      <c r="D124" s="284"/>
      <c r="E124" s="73">
        <v>10407528.981300412</v>
      </c>
      <c r="F124" s="73">
        <v>10505766.584602829</v>
      </c>
      <c r="G124" s="73">
        <v>10609108.890211163</v>
      </c>
      <c r="H124" s="73">
        <v>10712305.824780414</v>
      </c>
      <c r="I124" s="73">
        <v>10815496.720486747</v>
      </c>
      <c r="J124" s="73">
        <v>10918742.83691933</v>
      </c>
      <c r="K124" s="73">
        <v>11021402.982191747</v>
      </c>
      <c r="L124" s="73">
        <v>11124923.635816831</v>
      </c>
      <c r="M124" s="73">
        <v>11228955.169779748</v>
      </c>
      <c r="N124" s="73">
        <v>11332200.20200083</v>
      </c>
      <c r="O124" s="73">
        <v>11435269.708421163</v>
      </c>
      <c r="P124" s="73">
        <v>11539853.36307583</v>
      </c>
      <c r="Q124" s="73">
        <v>11645266.028591497</v>
      </c>
      <c r="R124" s="285"/>
    </row>
    <row r="125" spans="2:18">
      <c r="B125" s="282"/>
      <c r="C125" s="283" t="s">
        <v>137</v>
      </c>
      <c r="D125" s="284"/>
      <c r="E125" s="302"/>
      <c r="F125" s="302"/>
      <c r="G125" s="302"/>
      <c r="H125" s="302"/>
      <c r="I125" s="302"/>
      <c r="J125" s="302"/>
      <c r="K125" s="302"/>
      <c r="L125" s="302"/>
      <c r="M125" s="302"/>
      <c r="N125" s="302"/>
      <c r="O125" s="302"/>
      <c r="P125" s="302"/>
      <c r="Q125" s="302"/>
      <c r="R125" s="285"/>
    </row>
    <row r="126" spans="2:18">
      <c r="B126" s="282"/>
      <c r="C126" s="283" t="s">
        <v>102</v>
      </c>
      <c r="D126" s="284"/>
      <c r="E126" s="73">
        <v>1810670.1350747517</v>
      </c>
      <c r="F126" s="73">
        <v>1821592.5150234182</v>
      </c>
      <c r="G126" s="73">
        <v>1832520.885925835</v>
      </c>
      <c r="H126" s="73">
        <v>1843629.1444960018</v>
      </c>
      <c r="I126" s="73">
        <v>1854755.7253460018</v>
      </c>
      <c r="J126" s="73">
        <v>1865890.4438942517</v>
      </c>
      <c r="K126" s="73">
        <v>1877782.4369982518</v>
      </c>
      <c r="L126" s="73">
        <v>1888902.7282341684</v>
      </c>
      <c r="M126" s="73">
        <v>1900037.8798271683</v>
      </c>
      <c r="N126" s="73">
        <v>1910956.4399509183</v>
      </c>
      <c r="O126" s="73">
        <v>1921922.306540835</v>
      </c>
      <c r="P126" s="73">
        <v>1932859.4261664182</v>
      </c>
      <c r="Q126" s="73">
        <v>1943785.8599150016</v>
      </c>
      <c r="R126" s="285"/>
    </row>
    <row r="127" spans="2:18">
      <c r="B127" s="282"/>
      <c r="C127" s="283" t="s">
        <v>219</v>
      </c>
      <c r="D127" s="284"/>
      <c r="E127" s="302"/>
      <c r="F127" s="302"/>
      <c r="G127" s="302"/>
      <c r="H127" s="302"/>
      <c r="I127" s="302"/>
      <c r="J127" s="302"/>
      <c r="K127" s="302"/>
      <c r="L127" s="302"/>
      <c r="M127" s="302"/>
      <c r="N127" s="302"/>
      <c r="O127" s="302"/>
      <c r="P127" s="302"/>
      <c r="Q127" s="302"/>
      <c r="R127" s="285"/>
    </row>
    <row r="128" spans="2:18">
      <c r="B128" s="282"/>
      <c r="C128" s="283" t="s">
        <v>7</v>
      </c>
      <c r="D128" s="284"/>
      <c r="E128" s="296">
        <f>SUM(E121:E127)</f>
        <v>14098807.350035662</v>
      </c>
      <c r="F128" s="296">
        <f t="shared" ref="F128:Q128" si="24">SUM(F121:F127)</f>
        <v>14221595.712981746</v>
      </c>
      <c r="G128" s="296">
        <f t="shared" si="24"/>
        <v>14349446.712406497</v>
      </c>
      <c r="H128" s="296">
        <f t="shared" si="24"/>
        <v>14477142.812646914</v>
      </c>
      <c r="I128" s="296">
        <f t="shared" si="24"/>
        <v>14605026.90297525</v>
      </c>
      <c r="J128" s="296">
        <f t="shared" si="24"/>
        <v>14732840.918171581</v>
      </c>
      <c r="K128" s="296">
        <f t="shared" si="24"/>
        <v>14861029.238236498</v>
      </c>
      <c r="L128" s="296">
        <f t="shared" si="24"/>
        <v>14989681.819015499</v>
      </c>
      <c r="M128" s="296">
        <f t="shared" si="24"/>
        <v>15118970.825375915</v>
      </c>
      <c r="N128" s="296">
        <f t="shared" si="24"/>
        <v>15246843.267870249</v>
      </c>
      <c r="O128" s="296">
        <f t="shared" si="24"/>
        <v>15374664.553129498</v>
      </c>
      <c r="P128" s="296">
        <f t="shared" si="24"/>
        <v>15504177.594080748</v>
      </c>
      <c r="Q128" s="296">
        <f t="shared" si="24"/>
        <v>15634406.046094997</v>
      </c>
      <c r="R128" s="285"/>
    </row>
    <row r="129" spans="2:18">
      <c r="B129" s="282"/>
      <c r="C129" s="284"/>
      <c r="D129" s="284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/>
      <c r="Q129" s="302"/>
      <c r="R129" s="285"/>
    </row>
    <row r="130" spans="2:18">
      <c r="B130" s="282"/>
      <c r="C130" s="236" t="s">
        <v>452</v>
      </c>
      <c r="D130" s="302"/>
      <c r="E130" s="302">
        <v>3125778.3399999994</v>
      </c>
      <c r="F130" s="303">
        <v>2848280</v>
      </c>
      <c r="G130" s="303">
        <v>2753618</v>
      </c>
      <c r="H130" s="303">
        <v>2903014</v>
      </c>
      <c r="I130" s="303">
        <v>2695770</v>
      </c>
      <c r="J130" s="303">
        <v>2714609</v>
      </c>
      <c r="K130" s="303">
        <v>2776253</v>
      </c>
      <c r="L130" s="303">
        <v>2908787</v>
      </c>
      <c r="M130" s="303">
        <v>3066436</v>
      </c>
      <c r="N130" s="303">
        <v>2994526</v>
      </c>
      <c r="O130" s="303">
        <v>2896117</v>
      </c>
      <c r="P130" s="303">
        <v>2650200</v>
      </c>
      <c r="Q130" s="302">
        <v>2435372</v>
      </c>
      <c r="R130" s="285"/>
    </row>
    <row r="131" spans="2:18">
      <c r="B131" s="288"/>
      <c r="C131" s="292"/>
      <c r="D131" s="292"/>
      <c r="E131" s="311"/>
      <c r="F131" s="311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293"/>
    </row>
    <row r="132" spans="2:18">
      <c r="B132" s="278"/>
      <c r="C132" s="279" t="s">
        <v>41</v>
      </c>
      <c r="D132" s="280" t="s">
        <v>453</v>
      </c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281"/>
    </row>
    <row r="133" spans="2:18">
      <c r="B133" s="282"/>
      <c r="C133" s="283" t="s">
        <v>213</v>
      </c>
      <c r="D133" s="284"/>
      <c r="E133" s="302"/>
      <c r="F133" s="302"/>
      <c r="G133" s="302"/>
      <c r="H133" s="302"/>
      <c r="I133" s="302"/>
      <c r="J133" s="302"/>
      <c r="K133" s="302"/>
      <c r="L133" s="302"/>
      <c r="M133" s="302"/>
      <c r="N133" s="302"/>
      <c r="O133" s="302"/>
      <c r="P133" s="302"/>
      <c r="Q133" s="302"/>
      <c r="R133" s="285"/>
    </row>
    <row r="134" spans="2:18">
      <c r="B134" s="282"/>
      <c r="C134" s="283" t="s">
        <v>215</v>
      </c>
      <c r="D134" s="284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285"/>
    </row>
    <row r="135" spans="2:18">
      <c r="B135" s="282"/>
      <c r="C135" s="283" t="s">
        <v>216</v>
      </c>
      <c r="D135" s="284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285"/>
    </row>
    <row r="136" spans="2:18">
      <c r="B136" s="282"/>
      <c r="C136" s="283" t="s">
        <v>217</v>
      </c>
      <c r="D136" s="284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285"/>
    </row>
    <row r="137" spans="2:18">
      <c r="B137" s="282"/>
      <c r="C137" s="283" t="s">
        <v>137</v>
      </c>
      <c r="D137" s="284"/>
      <c r="E137" s="302"/>
      <c r="F137" s="302"/>
      <c r="G137" s="302"/>
      <c r="H137" s="302"/>
      <c r="I137" s="302"/>
      <c r="J137" s="302"/>
      <c r="K137" s="302"/>
      <c r="L137" s="302"/>
      <c r="M137" s="302"/>
      <c r="N137" s="302"/>
      <c r="O137" s="302"/>
      <c r="P137" s="302"/>
      <c r="Q137" s="302"/>
      <c r="R137" s="285"/>
    </row>
    <row r="138" spans="2:18">
      <c r="B138" s="282"/>
      <c r="C138" s="283" t="s">
        <v>102</v>
      </c>
      <c r="D138" s="284"/>
      <c r="E138" s="302"/>
      <c r="F138" s="302"/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2"/>
      <c r="R138" s="285"/>
    </row>
    <row r="139" spans="2:18">
      <c r="B139" s="282"/>
      <c r="C139" s="283" t="s">
        <v>219</v>
      </c>
      <c r="D139" s="284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285"/>
    </row>
    <row r="140" spans="2:18">
      <c r="B140" s="282"/>
      <c r="C140" s="286" t="s">
        <v>5</v>
      </c>
      <c r="D140" s="284"/>
      <c r="E140" s="296">
        <f t="shared" ref="E140:Q140" si="25">SUM(E133:E139)</f>
        <v>0</v>
      </c>
      <c r="F140" s="296">
        <f t="shared" si="25"/>
        <v>0</v>
      </c>
      <c r="G140" s="296">
        <f t="shared" si="25"/>
        <v>0</v>
      </c>
      <c r="H140" s="296">
        <f t="shared" si="25"/>
        <v>0</v>
      </c>
      <c r="I140" s="296">
        <f t="shared" si="25"/>
        <v>0</v>
      </c>
      <c r="J140" s="296">
        <f t="shared" si="25"/>
        <v>0</v>
      </c>
      <c r="K140" s="296">
        <f t="shared" si="25"/>
        <v>0</v>
      </c>
      <c r="L140" s="296">
        <f t="shared" si="25"/>
        <v>0</v>
      </c>
      <c r="M140" s="296">
        <f t="shared" si="25"/>
        <v>0</v>
      </c>
      <c r="N140" s="296">
        <f t="shared" si="25"/>
        <v>0</v>
      </c>
      <c r="O140" s="296">
        <f t="shared" si="25"/>
        <v>0</v>
      </c>
      <c r="P140" s="296">
        <f t="shared" si="25"/>
        <v>0</v>
      </c>
      <c r="Q140" s="296">
        <f t="shared" si="25"/>
        <v>0</v>
      </c>
      <c r="R140" s="285"/>
    </row>
    <row r="141" spans="2:18">
      <c r="B141" s="282"/>
      <c r="C141" s="284"/>
      <c r="D141" s="284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285"/>
    </row>
    <row r="142" spans="2:18">
      <c r="B142" s="282"/>
      <c r="C142" s="283" t="s">
        <v>42</v>
      </c>
      <c r="D142" s="284" t="s">
        <v>453</v>
      </c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285"/>
    </row>
    <row r="143" spans="2:18">
      <c r="B143" s="282"/>
      <c r="C143" s="283" t="s">
        <v>213</v>
      </c>
      <c r="D143" s="284"/>
      <c r="E143" s="313">
        <v>1548050.3579230411</v>
      </c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291"/>
    </row>
    <row r="144" spans="2:18">
      <c r="B144" s="282"/>
      <c r="C144" s="283" t="s">
        <v>215</v>
      </c>
      <c r="D144" s="284"/>
      <c r="E144" s="313">
        <v>304616.26048868656</v>
      </c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291"/>
    </row>
    <row r="145" spans="2:18">
      <c r="B145" s="282"/>
      <c r="C145" s="283" t="s">
        <v>216</v>
      </c>
      <c r="D145" s="284"/>
      <c r="E145" s="313">
        <v>1076923.9624399571</v>
      </c>
      <c r="F145" s="313"/>
      <c r="G145" s="313"/>
      <c r="H145" s="313"/>
      <c r="I145" s="313"/>
      <c r="J145" s="313"/>
      <c r="K145" s="313"/>
      <c r="L145" s="313"/>
      <c r="M145" s="313"/>
      <c r="N145" s="313"/>
      <c r="O145" s="313"/>
      <c r="P145" s="313"/>
      <c r="Q145" s="313"/>
      <c r="R145" s="291"/>
    </row>
    <row r="146" spans="2:18">
      <c r="B146" s="282"/>
      <c r="C146" s="283" t="s">
        <v>217</v>
      </c>
      <c r="D146" s="284"/>
      <c r="E146" s="313">
        <v>196187.75914831454</v>
      </c>
      <c r="F146" s="313">
        <v>2848280</v>
      </c>
      <c r="G146" s="313">
        <v>2753618</v>
      </c>
      <c r="H146" s="313">
        <v>2903014</v>
      </c>
      <c r="I146" s="313">
        <v>2695770</v>
      </c>
      <c r="J146" s="313">
        <v>2714609</v>
      </c>
      <c r="K146" s="313">
        <v>2776253</v>
      </c>
      <c r="L146" s="313">
        <v>2908787</v>
      </c>
      <c r="M146" s="313">
        <v>3066436</v>
      </c>
      <c r="N146" s="313">
        <v>2994526</v>
      </c>
      <c r="O146" s="313">
        <v>2896117</v>
      </c>
      <c r="P146" s="313">
        <v>2650200</v>
      </c>
      <c r="Q146" s="313">
        <v>2435372</v>
      </c>
      <c r="R146" s="291"/>
    </row>
    <row r="147" spans="2:18">
      <c r="B147" s="282"/>
      <c r="C147" s="283" t="s">
        <v>137</v>
      </c>
      <c r="D147" s="284"/>
      <c r="E147" s="295">
        <v>0</v>
      </c>
      <c r="F147" s="295">
        <v>0</v>
      </c>
      <c r="G147" s="295">
        <v>0</v>
      </c>
      <c r="H147" s="295">
        <v>0</v>
      </c>
      <c r="I147" s="295">
        <v>0</v>
      </c>
      <c r="J147" s="295">
        <v>0</v>
      </c>
      <c r="K147" s="295">
        <v>0</v>
      </c>
      <c r="L147" s="295">
        <v>0</v>
      </c>
      <c r="M147" s="295">
        <v>0</v>
      </c>
      <c r="N147" s="295">
        <v>0</v>
      </c>
      <c r="O147" s="295">
        <v>0</v>
      </c>
      <c r="P147" s="295">
        <v>0</v>
      </c>
      <c r="Q147" s="295">
        <v>0</v>
      </c>
      <c r="R147" s="285"/>
    </row>
    <row r="148" spans="2:18">
      <c r="B148" s="282"/>
      <c r="C148" s="283" t="s">
        <v>102</v>
      </c>
      <c r="D148" s="284"/>
      <c r="E148" s="295">
        <v>0</v>
      </c>
      <c r="F148" s="295">
        <v>0</v>
      </c>
      <c r="G148" s="295">
        <v>0</v>
      </c>
      <c r="H148" s="295">
        <v>0</v>
      </c>
      <c r="I148" s="295">
        <v>0</v>
      </c>
      <c r="J148" s="295">
        <v>0</v>
      </c>
      <c r="K148" s="295">
        <v>0</v>
      </c>
      <c r="L148" s="295">
        <v>0</v>
      </c>
      <c r="M148" s="295">
        <v>0</v>
      </c>
      <c r="N148" s="295">
        <v>0</v>
      </c>
      <c r="O148" s="295">
        <v>0</v>
      </c>
      <c r="P148" s="295">
        <v>0</v>
      </c>
      <c r="Q148" s="295">
        <v>0</v>
      </c>
      <c r="R148" s="285"/>
    </row>
    <row r="149" spans="2:18">
      <c r="B149" s="282"/>
      <c r="C149" s="283" t="s">
        <v>219</v>
      </c>
      <c r="D149" s="284"/>
      <c r="E149" s="295">
        <f t="shared" ref="E149:Q149" si="26">E$130*E85/$E$87</f>
        <v>0</v>
      </c>
      <c r="F149" s="295">
        <f t="shared" si="26"/>
        <v>0</v>
      </c>
      <c r="G149" s="295">
        <f t="shared" si="26"/>
        <v>0</v>
      </c>
      <c r="H149" s="295">
        <f t="shared" si="26"/>
        <v>0</v>
      </c>
      <c r="I149" s="295">
        <f t="shared" si="26"/>
        <v>0</v>
      </c>
      <c r="J149" s="295">
        <f t="shared" si="26"/>
        <v>0</v>
      </c>
      <c r="K149" s="295">
        <f t="shared" si="26"/>
        <v>0</v>
      </c>
      <c r="L149" s="295">
        <f t="shared" si="26"/>
        <v>0</v>
      </c>
      <c r="M149" s="295">
        <f t="shared" si="26"/>
        <v>0</v>
      </c>
      <c r="N149" s="295">
        <f t="shared" si="26"/>
        <v>0</v>
      </c>
      <c r="O149" s="295">
        <f t="shared" si="26"/>
        <v>0</v>
      </c>
      <c r="P149" s="295">
        <f t="shared" si="26"/>
        <v>0</v>
      </c>
      <c r="Q149" s="295">
        <f t="shared" si="26"/>
        <v>0</v>
      </c>
      <c r="R149" s="285"/>
    </row>
    <row r="150" spans="2:18">
      <c r="B150" s="282"/>
      <c r="C150" s="283" t="s">
        <v>7</v>
      </c>
      <c r="D150" s="284"/>
      <c r="E150" s="296">
        <f>SUM(E143:E149)</f>
        <v>3125778.3399999994</v>
      </c>
      <c r="F150" s="296">
        <v>2848280</v>
      </c>
      <c r="G150" s="296">
        <v>2753618</v>
      </c>
      <c r="H150" s="296">
        <v>2903014</v>
      </c>
      <c r="I150" s="296">
        <v>2695770</v>
      </c>
      <c r="J150" s="296">
        <v>2714609</v>
      </c>
      <c r="K150" s="296">
        <v>2776253</v>
      </c>
      <c r="L150" s="296">
        <v>2908787</v>
      </c>
      <c r="M150" s="296">
        <v>3066436</v>
      </c>
      <c r="N150" s="296">
        <v>2994526</v>
      </c>
      <c r="O150" s="296">
        <v>2896117</v>
      </c>
      <c r="P150" s="296">
        <v>2650200</v>
      </c>
      <c r="Q150" s="296">
        <v>2435372</v>
      </c>
      <c r="R150" s="285"/>
    </row>
    <row r="151" spans="2:18">
      <c r="B151" s="288"/>
      <c r="C151" s="292"/>
      <c r="D151" s="292"/>
      <c r="E151" s="311"/>
      <c r="F151" s="311"/>
      <c r="G151" s="311"/>
      <c r="H151" s="311"/>
      <c r="I151" s="311"/>
      <c r="J151" s="311"/>
      <c r="K151" s="311"/>
      <c r="L151" s="311"/>
      <c r="M151" s="311"/>
      <c r="N151" s="311"/>
      <c r="O151" s="311"/>
      <c r="P151" s="311"/>
      <c r="Q151" s="311"/>
      <c r="R151" s="293"/>
    </row>
    <row r="152" spans="2:18">
      <c r="B152" s="278"/>
      <c r="C152" s="279"/>
      <c r="D152" s="280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281"/>
    </row>
    <row r="153" spans="2:18">
      <c r="B153" s="282"/>
      <c r="C153" s="283" t="s">
        <v>41</v>
      </c>
      <c r="D153" s="283" t="s">
        <v>454</v>
      </c>
      <c r="E153" s="302"/>
      <c r="F153" s="302"/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285"/>
    </row>
    <row r="154" spans="2:18">
      <c r="B154" s="282"/>
      <c r="C154" s="283" t="s">
        <v>213</v>
      </c>
      <c r="D154" s="284"/>
      <c r="E154" s="300">
        <v>-11244543.070000002</v>
      </c>
      <c r="F154" s="300"/>
      <c r="G154" s="300"/>
      <c r="H154" s="300">
        <v>-1847477</v>
      </c>
      <c r="I154" s="300"/>
      <c r="J154" s="300"/>
      <c r="K154" s="300">
        <v>-1592458</v>
      </c>
      <c r="L154" s="300"/>
      <c r="M154" s="300"/>
      <c r="N154" s="300">
        <f>-2678173</f>
        <v>-2678173</v>
      </c>
      <c r="O154" s="300"/>
      <c r="P154" s="300"/>
      <c r="Q154" s="300">
        <v>-2621820</v>
      </c>
      <c r="R154" s="285"/>
    </row>
    <row r="155" spans="2:18">
      <c r="B155" s="282"/>
      <c r="C155" s="283" t="s">
        <v>215</v>
      </c>
      <c r="D155" s="284"/>
      <c r="E155" s="300">
        <v>-199436.02</v>
      </c>
      <c r="F155" s="300"/>
      <c r="G155" s="300"/>
      <c r="H155" s="300">
        <v>-4122595</v>
      </c>
      <c r="I155" s="300"/>
      <c r="J155" s="300"/>
      <c r="K155" s="300">
        <v>-4843554</v>
      </c>
      <c r="L155" s="300"/>
      <c r="M155" s="300"/>
      <c r="N155" s="300">
        <v>-1600140</v>
      </c>
      <c r="O155" s="300"/>
      <c r="P155" s="300"/>
      <c r="Q155" s="300">
        <v>-2044293</v>
      </c>
      <c r="R155" s="285"/>
    </row>
    <row r="156" spans="2:18">
      <c r="B156" s="282"/>
      <c r="C156" s="283" t="s">
        <v>216</v>
      </c>
      <c r="D156" s="284"/>
      <c r="E156" s="300">
        <v>-5939210.0299999993</v>
      </c>
      <c r="F156" s="300"/>
      <c r="G156" s="300"/>
      <c r="H156" s="300">
        <v>-6109724</v>
      </c>
      <c r="I156" s="300"/>
      <c r="J156" s="300"/>
      <c r="K156" s="300">
        <v>-5459836</v>
      </c>
      <c r="L156" s="300"/>
      <c r="M156" s="300"/>
      <c r="N156" s="300">
        <v>-4391273</v>
      </c>
      <c r="O156" s="300"/>
      <c r="P156" s="300"/>
      <c r="Q156" s="300">
        <v>-2512179</v>
      </c>
      <c r="R156" s="285"/>
    </row>
    <row r="157" spans="2:18">
      <c r="B157" s="282"/>
      <c r="C157" s="283" t="s">
        <v>217</v>
      </c>
      <c r="D157" s="284"/>
      <c r="E157" s="300"/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>
        <f>-151634+6220</f>
        <v>-145414</v>
      </c>
      <c r="R157" s="285"/>
    </row>
    <row r="158" spans="2:18">
      <c r="B158" s="282"/>
      <c r="C158" s="283" t="s">
        <v>137</v>
      </c>
      <c r="D158" s="284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285"/>
    </row>
    <row r="159" spans="2:18">
      <c r="B159" s="282"/>
      <c r="C159" s="283" t="s">
        <v>102</v>
      </c>
      <c r="D159" s="284"/>
      <c r="E159" s="300"/>
      <c r="F159" s="300"/>
      <c r="G159" s="300"/>
      <c r="H159" s="300"/>
      <c r="I159" s="300"/>
      <c r="J159" s="300"/>
      <c r="K159" s="300"/>
      <c r="L159" s="300"/>
      <c r="M159" s="300"/>
      <c r="N159" s="300">
        <v>-6220</v>
      </c>
      <c r="O159" s="300"/>
      <c r="P159" s="300"/>
      <c r="Q159" s="300">
        <v>-6220</v>
      </c>
      <c r="R159" s="285"/>
    </row>
    <row r="160" spans="2:18">
      <c r="B160" s="282"/>
      <c r="C160" s="283" t="s">
        <v>219</v>
      </c>
      <c r="D160" s="284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285"/>
    </row>
    <row r="161" spans="2:18">
      <c r="B161" s="282"/>
      <c r="C161" s="286" t="s">
        <v>5</v>
      </c>
      <c r="D161" s="284"/>
      <c r="E161" s="296">
        <f>SUM(E154:E160)</f>
        <v>-17383189.120000001</v>
      </c>
      <c r="F161" s="296">
        <f t="shared" ref="F161:Q161" si="27">SUM(F154:F160)</f>
        <v>0</v>
      </c>
      <c r="G161" s="296">
        <f t="shared" si="27"/>
        <v>0</v>
      </c>
      <c r="H161" s="296">
        <f t="shared" si="27"/>
        <v>-12079796</v>
      </c>
      <c r="I161" s="296">
        <f t="shared" si="27"/>
        <v>0</v>
      </c>
      <c r="J161" s="296">
        <f t="shared" si="27"/>
        <v>0</v>
      </c>
      <c r="K161" s="296">
        <f t="shared" si="27"/>
        <v>-11895848</v>
      </c>
      <c r="L161" s="296">
        <f t="shared" si="27"/>
        <v>0</v>
      </c>
      <c r="M161" s="296">
        <f t="shared" si="27"/>
        <v>0</v>
      </c>
      <c r="N161" s="296">
        <f t="shared" si="27"/>
        <v>-8675806</v>
      </c>
      <c r="O161" s="296">
        <f t="shared" si="27"/>
        <v>0</v>
      </c>
      <c r="P161" s="296">
        <f t="shared" si="27"/>
        <v>0</v>
      </c>
      <c r="Q161" s="296">
        <f t="shared" si="27"/>
        <v>-7329926</v>
      </c>
      <c r="R161" s="285"/>
    </row>
    <row r="162" spans="2:18">
      <c r="B162" s="282"/>
      <c r="C162" s="284"/>
      <c r="D162" s="284"/>
      <c r="E162" s="300"/>
      <c r="F162" s="300"/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285"/>
    </row>
    <row r="163" spans="2:18">
      <c r="B163" s="282"/>
      <c r="C163" s="283" t="s">
        <v>42</v>
      </c>
      <c r="D163" s="283" t="s">
        <v>454</v>
      </c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285"/>
    </row>
    <row r="164" spans="2:18">
      <c r="B164" s="282"/>
      <c r="C164" s="283" t="s">
        <v>213</v>
      </c>
      <c r="D164" s="284"/>
      <c r="E164" s="300">
        <v>-11244543.070000002</v>
      </c>
      <c r="F164" s="300"/>
      <c r="G164" s="300"/>
      <c r="H164" s="300">
        <v>-1847477</v>
      </c>
      <c r="I164" s="300"/>
      <c r="J164" s="300"/>
      <c r="K164" s="300">
        <v>-1592458</v>
      </c>
      <c r="L164" s="300"/>
      <c r="M164" s="300"/>
      <c r="N164" s="300">
        <f>-2678173</f>
        <v>-2678173</v>
      </c>
      <c r="O164" s="300"/>
      <c r="P164" s="300"/>
      <c r="Q164" s="300">
        <v>-2621820</v>
      </c>
      <c r="R164" s="287"/>
    </row>
    <row r="165" spans="2:18">
      <c r="B165" s="282"/>
      <c r="C165" s="283" t="s">
        <v>215</v>
      </c>
      <c r="D165" s="284"/>
      <c r="E165" s="300">
        <v>-199436.02</v>
      </c>
      <c r="F165" s="300"/>
      <c r="G165" s="300"/>
      <c r="H165" s="300">
        <v>-4122595</v>
      </c>
      <c r="I165" s="300"/>
      <c r="J165" s="300"/>
      <c r="K165" s="300">
        <v>-4843554</v>
      </c>
      <c r="L165" s="300"/>
      <c r="M165" s="300"/>
      <c r="N165" s="300">
        <v>-1600140</v>
      </c>
      <c r="O165" s="300"/>
      <c r="P165" s="300"/>
      <c r="Q165" s="300">
        <v>-2044293</v>
      </c>
      <c r="R165" s="287"/>
    </row>
    <row r="166" spans="2:18">
      <c r="B166" s="282"/>
      <c r="C166" s="283" t="s">
        <v>216</v>
      </c>
      <c r="D166" s="284"/>
      <c r="E166" s="300">
        <v>-5939210.0299999993</v>
      </c>
      <c r="F166" s="300"/>
      <c r="G166" s="300"/>
      <c r="H166" s="300">
        <v>-6109724</v>
      </c>
      <c r="I166" s="300"/>
      <c r="J166" s="300"/>
      <c r="K166" s="300">
        <v>-5459836</v>
      </c>
      <c r="L166" s="300"/>
      <c r="M166" s="300"/>
      <c r="N166" s="300">
        <v>-4391273</v>
      </c>
      <c r="O166" s="300"/>
      <c r="P166" s="300"/>
      <c r="Q166" s="300">
        <v>-2512179</v>
      </c>
      <c r="R166" s="287"/>
    </row>
    <row r="167" spans="2:18">
      <c r="B167" s="282"/>
      <c r="C167" s="283" t="s">
        <v>217</v>
      </c>
      <c r="D167" s="284"/>
      <c r="E167" s="300"/>
      <c r="F167" s="300"/>
      <c r="G167" s="300"/>
      <c r="H167" s="300"/>
      <c r="I167" s="300"/>
      <c r="J167" s="300"/>
      <c r="K167" s="300"/>
      <c r="L167" s="300"/>
      <c r="M167" s="300"/>
      <c r="N167" s="300"/>
      <c r="O167" s="300"/>
      <c r="P167" s="300"/>
      <c r="Q167" s="300">
        <f>-151634+6220</f>
        <v>-145414</v>
      </c>
      <c r="R167" s="287"/>
    </row>
    <row r="168" spans="2:18">
      <c r="B168" s="282"/>
      <c r="C168" s="283" t="s">
        <v>137</v>
      </c>
      <c r="D168" s="284"/>
      <c r="E168" s="300"/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287"/>
    </row>
    <row r="169" spans="2:18">
      <c r="B169" s="282"/>
      <c r="C169" s="283" t="s">
        <v>102</v>
      </c>
      <c r="D169" s="284"/>
      <c r="E169" s="300"/>
      <c r="F169" s="300"/>
      <c r="G169" s="300"/>
      <c r="H169" s="300"/>
      <c r="I169" s="300"/>
      <c r="J169" s="300"/>
      <c r="K169" s="300"/>
      <c r="L169" s="300"/>
      <c r="M169" s="300"/>
      <c r="N169" s="300">
        <v>-6220</v>
      </c>
      <c r="O169" s="300"/>
      <c r="P169" s="300"/>
      <c r="Q169" s="300">
        <v>-6220</v>
      </c>
      <c r="R169" s="287"/>
    </row>
    <row r="170" spans="2:18">
      <c r="B170" s="282"/>
      <c r="C170" s="283" t="s">
        <v>219</v>
      </c>
      <c r="D170" s="284"/>
      <c r="E170" s="300"/>
      <c r="F170" s="300"/>
      <c r="G170" s="300"/>
      <c r="H170" s="300"/>
      <c r="I170" s="300"/>
      <c r="J170" s="300"/>
      <c r="K170" s="300"/>
      <c r="L170" s="300"/>
      <c r="M170" s="300"/>
      <c r="N170" s="300"/>
      <c r="O170" s="300"/>
      <c r="P170" s="300"/>
      <c r="Q170" s="300"/>
      <c r="R170" s="287"/>
    </row>
    <row r="171" spans="2:18">
      <c r="B171" s="282"/>
      <c r="C171" s="283" t="s">
        <v>7</v>
      </c>
      <c r="D171" s="284"/>
      <c r="E171" s="296">
        <f>SUM(E164:E170)</f>
        <v>-17383189.120000001</v>
      </c>
      <c r="F171" s="296">
        <f t="shared" ref="F171:Q171" si="28">SUM(F164:F170)</f>
        <v>0</v>
      </c>
      <c r="G171" s="296">
        <f t="shared" si="28"/>
        <v>0</v>
      </c>
      <c r="H171" s="296">
        <f t="shared" si="28"/>
        <v>-12079796</v>
      </c>
      <c r="I171" s="296">
        <f t="shared" si="28"/>
        <v>0</v>
      </c>
      <c r="J171" s="296">
        <f t="shared" si="28"/>
        <v>0</v>
      </c>
      <c r="K171" s="296">
        <f t="shared" si="28"/>
        <v>-11895848</v>
      </c>
      <c r="L171" s="296">
        <f t="shared" si="28"/>
        <v>0</v>
      </c>
      <c r="M171" s="296">
        <f t="shared" si="28"/>
        <v>0</v>
      </c>
      <c r="N171" s="296">
        <f t="shared" si="28"/>
        <v>-8675806</v>
      </c>
      <c r="O171" s="296">
        <f t="shared" si="28"/>
        <v>0</v>
      </c>
      <c r="P171" s="296">
        <f t="shared" si="28"/>
        <v>0</v>
      </c>
      <c r="Q171" s="296">
        <f t="shared" si="28"/>
        <v>-7329926</v>
      </c>
      <c r="R171" s="287"/>
    </row>
    <row r="172" spans="2:18">
      <c r="B172" s="288"/>
      <c r="C172" s="289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289"/>
      <c r="P172" s="289"/>
      <c r="Q172" s="289"/>
      <c r="R172" s="290"/>
    </row>
  </sheetData>
  <mergeCells count="6"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Y206"/>
  <sheetViews>
    <sheetView zoomScaleNormal="100" workbookViewId="0">
      <selection activeCell="H23" sqref="H23"/>
    </sheetView>
  </sheetViews>
  <sheetFormatPr defaultColWidth="7.109375" defaultRowHeight="12.75"/>
  <cols>
    <col min="1" max="1" width="4.88671875" style="29" customWidth="1"/>
    <col min="2" max="2" width="15.6640625" style="29" customWidth="1"/>
    <col min="3" max="3" width="7.109375" style="29" customWidth="1"/>
    <col min="4" max="4" width="8.88671875" style="29" customWidth="1"/>
    <col min="5" max="5" width="7.88671875" style="29" customWidth="1"/>
    <col min="6" max="6" width="7.6640625" style="29" customWidth="1"/>
    <col min="7" max="7" width="10.33203125" style="29" customWidth="1"/>
    <col min="8" max="8" width="13" style="29" customWidth="1"/>
    <col min="9" max="9" width="11.88671875" style="29" customWidth="1"/>
    <col min="10" max="10" width="11.109375" style="29" customWidth="1"/>
    <col min="11" max="11" width="8" style="29" customWidth="1"/>
    <col min="12" max="16384" width="7.109375" style="29"/>
  </cols>
  <sheetData>
    <row r="1" spans="1:12">
      <c r="K1" s="147"/>
    </row>
    <row r="2" spans="1:12">
      <c r="B2" s="93"/>
      <c r="C2" s="8"/>
      <c r="D2" s="8"/>
      <c r="E2" s="8"/>
      <c r="F2" s="8"/>
      <c r="G2" s="8"/>
      <c r="H2" s="8"/>
      <c r="J2" s="76" t="str">
        <f>+'CU AC Rate Design - True-Up'!H1</f>
        <v>Date: May 31, 2023</v>
      </c>
    </row>
    <row r="3" spans="1:12" ht="15" customHeight="1">
      <c r="A3" s="323" t="s">
        <v>360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2" ht="15" customHeight="1">
      <c r="A4" s="323" t="s">
        <v>77</v>
      </c>
      <c r="B4" s="323"/>
      <c r="C4" s="323"/>
      <c r="D4" s="323"/>
      <c r="E4" s="323"/>
      <c r="F4" s="323"/>
      <c r="G4" s="323"/>
      <c r="H4" s="323"/>
      <c r="I4" s="323"/>
      <c r="J4" s="323"/>
    </row>
    <row r="5" spans="1:12">
      <c r="B5" s="93"/>
      <c r="C5" s="8"/>
      <c r="D5" s="95"/>
      <c r="E5" s="8"/>
      <c r="G5" s="8"/>
      <c r="H5" s="8"/>
      <c r="I5" s="8"/>
      <c r="J5" s="8"/>
    </row>
    <row r="6" spans="1:12" ht="18.75">
      <c r="A6" s="148" t="s">
        <v>196</v>
      </c>
      <c r="B6" s="93"/>
      <c r="C6" s="8"/>
      <c r="D6" s="330" t="s">
        <v>459</v>
      </c>
      <c r="E6" s="331"/>
      <c r="F6" s="331"/>
      <c r="G6" s="331"/>
      <c r="H6" s="332"/>
      <c r="I6" s="8"/>
      <c r="J6" s="8"/>
    </row>
    <row r="7" spans="1:12" ht="13.5" thickBot="1">
      <c r="A7" s="149" t="s">
        <v>197</v>
      </c>
    </row>
    <row r="8" spans="1:12" ht="15">
      <c r="A8" s="55">
        <v>1</v>
      </c>
      <c r="B8" s="150"/>
      <c r="C8" s="11"/>
      <c r="D8" s="20" t="s">
        <v>69</v>
      </c>
      <c r="E8" s="10" t="s">
        <v>94</v>
      </c>
      <c r="F8" s="10" t="s">
        <v>95</v>
      </c>
      <c r="G8" s="11" t="s">
        <v>96</v>
      </c>
      <c r="H8" s="20" t="s">
        <v>139</v>
      </c>
      <c r="I8" s="20" t="s">
        <v>1</v>
      </c>
      <c r="J8" s="10" t="s">
        <v>326</v>
      </c>
      <c r="K8" s="73"/>
    </row>
    <row r="9" spans="1:12" ht="15">
      <c r="A9" s="55">
        <f>A8+1</f>
        <v>2</v>
      </c>
      <c r="B9" s="151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3"/>
    </row>
    <row r="10" spans="1:12" ht="15.75" thickBot="1">
      <c r="A10" s="55">
        <f t="shared" ref="A10:A47" si="0">A9+1</f>
        <v>3</v>
      </c>
      <c r="B10" s="152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1" t="s">
        <v>99</v>
      </c>
      <c r="I10" s="21" t="s">
        <v>99</v>
      </c>
      <c r="J10" s="14" t="s">
        <v>110</v>
      </c>
      <c r="K10" s="73"/>
    </row>
    <row r="11" spans="1:12" ht="15">
      <c r="A11" s="55">
        <f t="shared" si="0"/>
        <v>4</v>
      </c>
      <c r="B11" s="22" t="s">
        <v>159</v>
      </c>
      <c r="C11" s="23"/>
      <c r="D11" s="150">
        <v>275</v>
      </c>
      <c r="E11" s="314">
        <v>283</v>
      </c>
      <c r="F11" s="315">
        <v>2</v>
      </c>
      <c r="G11" s="314">
        <v>44</v>
      </c>
      <c r="H11" s="11">
        <v>192</v>
      </c>
      <c r="I11" s="150">
        <v>177</v>
      </c>
      <c r="J11" s="314">
        <v>973</v>
      </c>
      <c r="K11" s="73"/>
      <c r="L11" s="273"/>
    </row>
    <row r="12" spans="1:12" ht="15">
      <c r="A12" s="55">
        <f t="shared" si="0"/>
        <v>5</v>
      </c>
      <c r="B12" s="22" t="s">
        <v>179</v>
      </c>
      <c r="C12" s="24"/>
      <c r="D12" s="151">
        <v>313</v>
      </c>
      <c r="E12" s="316">
        <v>327</v>
      </c>
      <c r="F12" s="317">
        <v>3</v>
      </c>
      <c r="G12" s="316">
        <v>54</v>
      </c>
      <c r="H12" s="13">
        <v>192</v>
      </c>
      <c r="I12" s="151">
        <v>170</v>
      </c>
      <c r="J12" s="316">
        <v>1059</v>
      </c>
      <c r="K12" s="73"/>
      <c r="L12" s="273"/>
    </row>
    <row r="13" spans="1:12" ht="15">
      <c r="A13" s="55">
        <f t="shared" si="0"/>
        <v>6</v>
      </c>
      <c r="B13" s="22" t="s">
        <v>180</v>
      </c>
      <c r="C13" s="24"/>
      <c r="D13" s="151">
        <v>288</v>
      </c>
      <c r="E13" s="316">
        <v>289</v>
      </c>
      <c r="F13" s="317">
        <v>2</v>
      </c>
      <c r="G13" s="316">
        <v>48</v>
      </c>
      <c r="H13" s="13">
        <v>192</v>
      </c>
      <c r="I13" s="151">
        <v>173</v>
      </c>
      <c r="J13" s="316">
        <v>992</v>
      </c>
      <c r="K13" s="73"/>
      <c r="L13" s="273"/>
    </row>
    <row r="14" spans="1:12" ht="15">
      <c r="A14" s="55">
        <f t="shared" si="0"/>
        <v>7</v>
      </c>
      <c r="B14" s="22" t="s">
        <v>190</v>
      </c>
      <c r="C14" s="24"/>
      <c r="D14" s="151">
        <v>271</v>
      </c>
      <c r="E14" s="316">
        <v>295</v>
      </c>
      <c r="F14" s="317">
        <v>3</v>
      </c>
      <c r="G14" s="316">
        <v>51</v>
      </c>
      <c r="H14" s="13">
        <v>192</v>
      </c>
      <c r="I14" s="151">
        <v>177</v>
      </c>
      <c r="J14" s="316">
        <v>989</v>
      </c>
      <c r="K14" s="73"/>
      <c r="L14" s="273"/>
    </row>
    <row r="15" spans="1:12" ht="15">
      <c r="A15" s="55">
        <f t="shared" si="0"/>
        <v>8</v>
      </c>
      <c r="B15" s="22" t="s">
        <v>191</v>
      </c>
      <c r="C15" s="24"/>
      <c r="D15" s="151">
        <v>252</v>
      </c>
      <c r="E15" s="316">
        <v>229</v>
      </c>
      <c r="F15" s="317">
        <v>2</v>
      </c>
      <c r="G15" s="316">
        <v>45</v>
      </c>
      <c r="H15" s="13">
        <v>192</v>
      </c>
      <c r="I15" s="151">
        <v>177</v>
      </c>
      <c r="J15" s="316">
        <v>897</v>
      </c>
      <c r="K15" s="73"/>
      <c r="L15" s="273"/>
    </row>
    <row r="16" spans="1:12" ht="15">
      <c r="A16" s="55">
        <f t="shared" si="0"/>
        <v>9</v>
      </c>
      <c r="B16" s="22" t="s">
        <v>192</v>
      </c>
      <c r="C16" s="24"/>
      <c r="D16" s="151">
        <v>302</v>
      </c>
      <c r="E16" s="316">
        <v>244</v>
      </c>
      <c r="F16" s="317">
        <v>2</v>
      </c>
      <c r="G16" s="316">
        <v>56</v>
      </c>
      <c r="H16" s="13">
        <v>190</v>
      </c>
      <c r="I16" s="151">
        <v>168</v>
      </c>
      <c r="J16" s="316">
        <v>962</v>
      </c>
      <c r="K16" s="73"/>
      <c r="L16" s="273"/>
    </row>
    <row r="17" spans="1:25" ht="15">
      <c r="A17" s="55">
        <f t="shared" si="0"/>
        <v>10</v>
      </c>
      <c r="B17" s="22" t="s">
        <v>181</v>
      </c>
      <c r="C17" s="24"/>
      <c r="D17" s="151">
        <v>398</v>
      </c>
      <c r="E17" s="316">
        <v>266</v>
      </c>
      <c r="F17" s="317">
        <v>3</v>
      </c>
      <c r="G17" s="316">
        <v>79</v>
      </c>
      <c r="H17" s="13">
        <v>190</v>
      </c>
      <c r="I17" s="151">
        <v>164</v>
      </c>
      <c r="J17" s="316">
        <v>1100</v>
      </c>
      <c r="K17" s="73"/>
      <c r="L17" s="273"/>
    </row>
    <row r="18" spans="1:25" ht="15">
      <c r="A18" s="55">
        <f t="shared" si="0"/>
        <v>11</v>
      </c>
      <c r="B18" s="22" t="s">
        <v>156</v>
      </c>
      <c r="C18" s="24"/>
      <c r="D18" s="151">
        <v>330</v>
      </c>
      <c r="E18" s="316">
        <v>235</v>
      </c>
      <c r="F18" s="317">
        <v>3</v>
      </c>
      <c r="G18" s="316">
        <v>64</v>
      </c>
      <c r="H18" s="13">
        <v>342</v>
      </c>
      <c r="I18" s="151">
        <v>0</v>
      </c>
      <c r="J18" s="316">
        <v>974</v>
      </c>
      <c r="K18" s="73"/>
      <c r="L18" s="273"/>
    </row>
    <row r="19" spans="1:25" ht="15">
      <c r="A19" s="55">
        <f t="shared" si="0"/>
        <v>12</v>
      </c>
      <c r="B19" s="22" t="s">
        <v>182</v>
      </c>
      <c r="C19" s="24"/>
      <c r="D19" s="151">
        <v>334</v>
      </c>
      <c r="E19" s="316">
        <v>262</v>
      </c>
      <c r="F19" s="317">
        <v>3</v>
      </c>
      <c r="G19" s="316">
        <v>66</v>
      </c>
      <c r="H19" s="13">
        <v>342</v>
      </c>
      <c r="I19" s="151">
        <v>0</v>
      </c>
      <c r="J19" s="316">
        <v>1007</v>
      </c>
      <c r="K19" s="73"/>
      <c r="L19" s="273"/>
    </row>
    <row r="20" spans="1:25" ht="15">
      <c r="A20" s="55">
        <f t="shared" si="0"/>
        <v>13</v>
      </c>
      <c r="B20" s="22" t="s">
        <v>157</v>
      </c>
      <c r="C20" s="24"/>
      <c r="D20" s="151">
        <v>238</v>
      </c>
      <c r="E20" s="316">
        <v>274</v>
      </c>
      <c r="F20" s="317">
        <v>2</v>
      </c>
      <c r="G20" s="316">
        <v>39</v>
      </c>
      <c r="H20" s="13">
        <v>342</v>
      </c>
      <c r="I20" s="151">
        <v>0</v>
      </c>
      <c r="J20" s="316">
        <v>895</v>
      </c>
      <c r="K20" s="73"/>
      <c r="L20" s="273"/>
    </row>
    <row r="21" spans="1:25" ht="15">
      <c r="A21" s="55">
        <f t="shared" si="0"/>
        <v>14</v>
      </c>
      <c r="B21" s="22" t="s">
        <v>158</v>
      </c>
      <c r="C21" s="24"/>
      <c r="D21" s="151">
        <v>281</v>
      </c>
      <c r="E21" s="316">
        <v>316</v>
      </c>
      <c r="F21" s="317">
        <v>2</v>
      </c>
      <c r="G21" s="316">
        <v>46</v>
      </c>
      <c r="H21" s="13">
        <v>342</v>
      </c>
      <c r="I21" s="151">
        <v>0</v>
      </c>
      <c r="J21" s="316">
        <v>987</v>
      </c>
      <c r="K21" s="73"/>
      <c r="L21" s="273"/>
    </row>
    <row r="22" spans="1:25" ht="15.75" thickBot="1">
      <c r="A22" s="55">
        <f t="shared" si="0"/>
        <v>15</v>
      </c>
      <c r="B22" s="25" t="s">
        <v>183</v>
      </c>
      <c r="C22" s="26"/>
      <c r="D22" s="152">
        <v>321</v>
      </c>
      <c r="E22" s="318">
        <v>327</v>
      </c>
      <c r="F22" s="319">
        <v>2</v>
      </c>
      <c r="G22" s="318">
        <v>56</v>
      </c>
      <c r="H22" s="319">
        <v>342</v>
      </c>
      <c r="I22" s="152">
        <v>0</v>
      </c>
      <c r="J22" s="318">
        <v>1048</v>
      </c>
      <c r="K22" s="73"/>
      <c r="L22" s="273"/>
    </row>
    <row r="23" spans="1:25" ht="15.75" thickBot="1">
      <c r="A23" s="55">
        <f t="shared" si="0"/>
        <v>16</v>
      </c>
      <c r="B23" s="153"/>
      <c r="C23" s="24"/>
      <c r="D23" s="17"/>
      <c r="E23" s="17"/>
      <c r="F23" s="17"/>
      <c r="G23" s="12"/>
      <c r="H23" s="13"/>
      <c r="I23" s="15"/>
      <c r="J23" s="17"/>
      <c r="K23" s="73"/>
      <c r="L23" s="273"/>
    </row>
    <row r="24" spans="1:25" ht="15.75" thickBot="1">
      <c r="A24" s="55">
        <f t="shared" si="0"/>
        <v>17</v>
      </c>
      <c r="B24" s="154" t="s">
        <v>118</v>
      </c>
      <c r="C24" s="155"/>
      <c r="D24" s="92">
        <f t="shared" ref="D24:J24" si="1">SUM(D11:D22)/12</f>
        <v>300.25</v>
      </c>
      <c r="E24" s="18">
        <f t="shared" si="1"/>
        <v>278.91666666666669</v>
      </c>
      <c r="F24" s="156">
        <f t="shared" si="1"/>
        <v>2.4166666666666665</v>
      </c>
      <c r="G24" s="18">
        <f t="shared" si="1"/>
        <v>54</v>
      </c>
      <c r="H24" s="157">
        <f t="shared" si="1"/>
        <v>254.16666666666666</v>
      </c>
      <c r="I24" s="92">
        <f t="shared" si="1"/>
        <v>100.5</v>
      </c>
      <c r="J24" s="18">
        <f t="shared" si="1"/>
        <v>990.25</v>
      </c>
      <c r="K24" s="73"/>
      <c r="L24" s="273"/>
    </row>
    <row r="25" spans="1:25">
      <c r="A25" s="55">
        <f t="shared" si="0"/>
        <v>18</v>
      </c>
    </row>
    <row r="26" spans="1:25" ht="18.75">
      <c r="A26" s="55">
        <f t="shared" si="0"/>
        <v>19</v>
      </c>
      <c r="B26" s="93"/>
      <c r="C26" s="8"/>
      <c r="D26" s="330" t="s">
        <v>460</v>
      </c>
      <c r="E26" s="331"/>
      <c r="F26" s="331"/>
      <c r="G26" s="331"/>
      <c r="H26" s="332"/>
      <c r="I26" s="8"/>
    </row>
    <row r="27" spans="1:25" ht="13.5" thickBot="1">
      <c r="A27" s="55">
        <f t="shared" si="0"/>
        <v>20</v>
      </c>
    </row>
    <row r="28" spans="1:25">
      <c r="A28" s="55">
        <f t="shared" si="0"/>
        <v>21</v>
      </c>
      <c r="B28" s="150"/>
      <c r="C28" s="11"/>
      <c r="D28" s="20" t="s">
        <v>69</v>
      </c>
      <c r="E28" s="10" t="s">
        <v>94</v>
      </c>
      <c r="F28" s="10" t="s">
        <v>95</v>
      </c>
      <c r="G28" s="11" t="s">
        <v>96</v>
      </c>
      <c r="H28" s="20" t="s">
        <v>139</v>
      </c>
      <c r="I28" s="20" t="s">
        <v>1</v>
      </c>
      <c r="J28" s="10" t="s">
        <v>326</v>
      </c>
    </row>
    <row r="29" spans="1:25">
      <c r="A29" s="55">
        <f t="shared" si="0"/>
        <v>22</v>
      </c>
      <c r="B29" s="151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25" ht="13.5" thickBot="1">
      <c r="A30" s="55">
        <f t="shared" si="0"/>
        <v>23</v>
      </c>
      <c r="B30" s="152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1" t="s">
        <v>99</v>
      </c>
      <c r="I30" s="21" t="s">
        <v>99</v>
      </c>
      <c r="J30" s="21" t="s">
        <v>110</v>
      </c>
    </row>
    <row r="31" spans="1:25">
      <c r="A31" s="55">
        <f t="shared" si="0"/>
        <v>24</v>
      </c>
      <c r="B31" s="22" t="s">
        <v>159</v>
      </c>
      <c r="C31" s="23"/>
      <c r="D31" s="320">
        <v>330</v>
      </c>
      <c r="E31" s="314">
        <v>269</v>
      </c>
      <c r="F31" s="315">
        <v>3</v>
      </c>
      <c r="G31" s="314">
        <v>71</v>
      </c>
      <c r="H31" s="11">
        <v>342</v>
      </c>
      <c r="I31" s="150">
        <v>0</v>
      </c>
      <c r="J31" s="314">
        <v>1015</v>
      </c>
      <c r="K31" s="24"/>
      <c r="L31" s="158"/>
      <c r="S31" s="273"/>
      <c r="T31" s="273"/>
      <c r="U31" s="273"/>
      <c r="V31" s="273"/>
      <c r="W31" s="273"/>
      <c r="X31" s="273"/>
      <c r="Y31" s="273"/>
    </row>
    <row r="32" spans="1:25">
      <c r="A32" s="55">
        <f t="shared" si="0"/>
        <v>25</v>
      </c>
      <c r="B32" s="22" t="s">
        <v>179</v>
      </c>
      <c r="C32" s="24"/>
      <c r="D32" s="321">
        <v>318</v>
      </c>
      <c r="E32" s="316">
        <v>274</v>
      </c>
      <c r="F32" s="317">
        <v>3</v>
      </c>
      <c r="G32" s="316">
        <v>68</v>
      </c>
      <c r="H32" s="13">
        <v>342</v>
      </c>
      <c r="I32" s="151">
        <v>0</v>
      </c>
      <c r="J32" s="316">
        <v>1005</v>
      </c>
      <c r="K32" s="24"/>
      <c r="S32" s="273"/>
      <c r="T32" s="273"/>
      <c r="U32" s="273"/>
      <c r="V32" s="273"/>
      <c r="W32" s="273"/>
      <c r="X32" s="273"/>
      <c r="Y32" s="273"/>
    </row>
    <row r="33" spans="1:25">
      <c r="A33" s="55">
        <f t="shared" si="0"/>
        <v>26</v>
      </c>
      <c r="B33" s="22" t="s">
        <v>180</v>
      </c>
      <c r="C33" s="24"/>
      <c r="D33" s="321">
        <v>297</v>
      </c>
      <c r="E33" s="316">
        <v>258</v>
      </c>
      <c r="F33" s="317">
        <v>3</v>
      </c>
      <c r="G33" s="316">
        <v>64</v>
      </c>
      <c r="H33" s="13">
        <v>342</v>
      </c>
      <c r="I33" s="151">
        <v>0</v>
      </c>
      <c r="J33" s="316">
        <v>964</v>
      </c>
      <c r="K33" s="24"/>
      <c r="S33" s="273"/>
      <c r="T33" s="273"/>
      <c r="U33" s="273"/>
      <c r="V33" s="273"/>
      <c r="W33" s="273"/>
      <c r="X33" s="273"/>
      <c r="Y33" s="273"/>
    </row>
    <row r="34" spans="1:25">
      <c r="A34" s="55">
        <f t="shared" si="0"/>
        <v>27</v>
      </c>
      <c r="B34" s="22" t="s">
        <v>190</v>
      </c>
      <c r="C34" s="24"/>
      <c r="D34" s="321">
        <v>269</v>
      </c>
      <c r="E34" s="316">
        <v>241</v>
      </c>
      <c r="F34" s="317">
        <v>3</v>
      </c>
      <c r="G34" s="316">
        <v>57</v>
      </c>
      <c r="H34" s="13">
        <v>342</v>
      </c>
      <c r="I34" s="151">
        <v>0</v>
      </c>
      <c r="J34" s="316">
        <v>912</v>
      </c>
      <c r="K34" s="24"/>
      <c r="S34" s="273"/>
      <c r="T34" s="273"/>
      <c r="U34" s="273"/>
      <c r="V34" s="273"/>
      <c r="W34" s="273"/>
      <c r="X34" s="273"/>
      <c r="Y34" s="273"/>
    </row>
    <row r="35" spans="1:25">
      <c r="A35" s="55">
        <f t="shared" si="0"/>
        <v>28</v>
      </c>
      <c r="B35" s="22" t="s">
        <v>191</v>
      </c>
      <c r="C35" s="24"/>
      <c r="D35" s="321">
        <v>278</v>
      </c>
      <c r="E35" s="316">
        <v>212</v>
      </c>
      <c r="F35" s="317">
        <v>3</v>
      </c>
      <c r="G35" s="316">
        <v>62</v>
      </c>
      <c r="H35" s="13">
        <v>342</v>
      </c>
      <c r="I35" s="151">
        <v>0</v>
      </c>
      <c r="J35" s="316">
        <v>897</v>
      </c>
      <c r="K35" s="24"/>
      <c r="S35" s="273"/>
      <c r="T35" s="273"/>
      <c r="U35" s="273"/>
      <c r="V35" s="273"/>
      <c r="W35" s="273"/>
      <c r="X35" s="273"/>
      <c r="Y35" s="273"/>
    </row>
    <row r="36" spans="1:25">
      <c r="A36" s="55">
        <f t="shared" si="0"/>
        <v>29</v>
      </c>
      <c r="B36" s="22" t="s">
        <v>192</v>
      </c>
      <c r="C36" s="24"/>
      <c r="D36" s="321">
        <v>342</v>
      </c>
      <c r="E36" s="316">
        <v>203</v>
      </c>
      <c r="F36" s="317">
        <v>3</v>
      </c>
      <c r="G36" s="316">
        <v>75</v>
      </c>
      <c r="H36" s="13">
        <v>342</v>
      </c>
      <c r="I36" s="151">
        <v>0</v>
      </c>
      <c r="J36" s="316">
        <v>965</v>
      </c>
      <c r="K36" s="24"/>
      <c r="S36" s="273"/>
      <c r="T36" s="273"/>
      <c r="U36" s="273"/>
      <c r="V36" s="273"/>
      <c r="W36" s="273"/>
      <c r="X36" s="273"/>
      <c r="Y36" s="273"/>
    </row>
    <row r="37" spans="1:25">
      <c r="A37" s="55">
        <f t="shared" si="0"/>
        <v>30</v>
      </c>
      <c r="B37" s="22" t="s">
        <v>181</v>
      </c>
      <c r="C37" s="24"/>
      <c r="D37" s="321">
        <v>377</v>
      </c>
      <c r="E37" s="316">
        <v>218</v>
      </c>
      <c r="F37" s="317">
        <v>3</v>
      </c>
      <c r="G37" s="316">
        <v>84</v>
      </c>
      <c r="H37" s="13">
        <v>342</v>
      </c>
      <c r="I37" s="151">
        <v>0</v>
      </c>
      <c r="J37" s="316">
        <v>1024</v>
      </c>
      <c r="K37" s="24"/>
      <c r="S37" s="273"/>
      <c r="T37" s="273"/>
      <c r="U37" s="273"/>
      <c r="V37" s="273"/>
      <c r="W37" s="273"/>
      <c r="X37" s="273"/>
      <c r="Y37" s="273"/>
    </row>
    <row r="38" spans="1:25">
      <c r="A38" s="55">
        <f t="shared" si="0"/>
        <v>31</v>
      </c>
      <c r="B38" s="22" t="s">
        <v>156</v>
      </c>
      <c r="C38" s="24"/>
      <c r="D38" s="321">
        <v>361</v>
      </c>
      <c r="E38" s="316">
        <v>221</v>
      </c>
      <c r="F38" s="317">
        <v>3</v>
      </c>
      <c r="G38" s="316">
        <v>80</v>
      </c>
      <c r="H38" s="13">
        <v>342</v>
      </c>
      <c r="I38" s="151">
        <v>0</v>
      </c>
      <c r="J38" s="316">
        <v>1007</v>
      </c>
      <c r="K38" s="24"/>
      <c r="S38" s="273"/>
      <c r="T38" s="273"/>
      <c r="U38" s="273"/>
      <c r="V38" s="273"/>
      <c r="W38" s="273"/>
      <c r="X38" s="273"/>
      <c r="Y38" s="273"/>
    </row>
    <row r="39" spans="1:25">
      <c r="A39" s="55">
        <f t="shared" si="0"/>
        <v>32</v>
      </c>
      <c r="B39" s="22" t="s">
        <v>182</v>
      </c>
      <c r="C39" s="24"/>
      <c r="D39" s="321">
        <v>323</v>
      </c>
      <c r="E39" s="316">
        <v>217</v>
      </c>
      <c r="F39" s="317">
        <v>3</v>
      </c>
      <c r="G39" s="316">
        <v>73</v>
      </c>
      <c r="H39" s="13">
        <v>342</v>
      </c>
      <c r="I39" s="151">
        <v>0</v>
      </c>
      <c r="J39" s="316">
        <v>958</v>
      </c>
      <c r="K39" s="24"/>
      <c r="S39" s="273"/>
      <c r="T39" s="273"/>
      <c r="U39" s="273"/>
      <c r="V39" s="273"/>
      <c r="W39" s="273"/>
      <c r="X39" s="273"/>
      <c r="Y39" s="273"/>
    </row>
    <row r="40" spans="1:25">
      <c r="A40" s="55">
        <f t="shared" si="0"/>
        <v>33</v>
      </c>
      <c r="B40" s="22" t="s">
        <v>157</v>
      </c>
      <c r="C40" s="24"/>
      <c r="D40" s="321">
        <v>276</v>
      </c>
      <c r="E40" s="316">
        <v>241</v>
      </c>
      <c r="F40" s="317">
        <v>3</v>
      </c>
      <c r="G40" s="316">
        <v>59</v>
      </c>
      <c r="H40" s="13">
        <v>342</v>
      </c>
      <c r="I40" s="151">
        <v>0</v>
      </c>
      <c r="J40" s="316">
        <v>921</v>
      </c>
      <c r="K40" s="24"/>
      <c r="S40" s="273"/>
      <c r="T40" s="273"/>
      <c r="U40" s="273"/>
      <c r="V40" s="273"/>
      <c r="W40" s="273"/>
      <c r="X40" s="273"/>
      <c r="Y40" s="273"/>
    </row>
    <row r="41" spans="1:25">
      <c r="A41" s="55">
        <f t="shared" si="0"/>
        <v>34</v>
      </c>
      <c r="B41" s="22" t="s">
        <v>158</v>
      </c>
      <c r="C41" s="24"/>
      <c r="D41" s="321">
        <v>302</v>
      </c>
      <c r="E41" s="316">
        <v>243</v>
      </c>
      <c r="F41" s="317">
        <v>3</v>
      </c>
      <c r="G41" s="316">
        <v>68</v>
      </c>
      <c r="H41" s="13">
        <v>342</v>
      </c>
      <c r="I41" s="151">
        <v>0</v>
      </c>
      <c r="J41" s="316">
        <v>958</v>
      </c>
      <c r="K41" s="24"/>
      <c r="S41" s="273"/>
      <c r="T41" s="273"/>
      <c r="U41" s="273"/>
      <c r="V41" s="273"/>
      <c r="W41" s="273"/>
      <c r="X41" s="273"/>
      <c r="Y41" s="273"/>
    </row>
    <row r="42" spans="1:25" ht="13.5" thickBot="1">
      <c r="A42" s="55">
        <f t="shared" si="0"/>
        <v>35</v>
      </c>
      <c r="B42" s="25" t="s">
        <v>183</v>
      </c>
      <c r="C42" s="26"/>
      <c r="D42" s="322">
        <v>324</v>
      </c>
      <c r="E42" s="318">
        <v>256</v>
      </c>
      <c r="F42" s="319">
        <v>3</v>
      </c>
      <c r="G42" s="318">
        <v>73</v>
      </c>
      <c r="H42" s="319">
        <v>342</v>
      </c>
      <c r="I42" s="152">
        <v>0</v>
      </c>
      <c r="J42" s="318">
        <v>998</v>
      </c>
      <c r="K42" s="24"/>
      <c r="S42" s="273"/>
      <c r="T42" s="273"/>
      <c r="U42" s="273"/>
      <c r="V42" s="273"/>
      <c r="W42" s="273"/>
      <c r="X42" s="273"/>
      <c r="Y42" s="273"/>
    </row>
    <row r="43" spans="1:25" ht="13.5" thickBot="1">
      <c r="A43" s="55">
        <f t="shared" si="0"/>
        <v>36</v>
      </c>
      <c r="B43" s="153"/>
      <c r="C43" s="24"/>
      <c r="D43" s="17"/>
      <c r="E43" s="17"/>
      <c r="F43" s="17"/>
      <c r="G43" s="12"/>
      <c r="H43" s="13"/>
      <c r="I43" s="15"/>
      <c r="J43" s="74"/>
      <c r="K43" s="24"/>
      <c r="S43" s="273"/>
      <c r="T43" s="273"/>
      <c r="U43" s="273"/>
      <c r="V43" s="273"/>
      <c r="W43" s="273"/>
      <c r="X43" s="273"/>
      <c r="Y43" s="273"/>
    </row>
    <row r="44" spans="1:25" ht="13.5" thickBot="1">
      <c r="A44" s="55">
        <f t="shared" si="0"/>
        <v>37</v>
      </c>
      <c r="B44" s="154" t="s">
        <v>118</v>
      </c>
      <c r="C44" s="155"/>
      <c r="D44" s="18">
        <f t="shared" ref="D44:J44" si="2">SUM(D31:D42)/12</f>
        <v>316.41666666666669</v>
      </c>
      <c r="E44" s="18">
        <f t="shared" si="2"/>
        <v>237.75</v>
      </c>
      <c r="F44" s="18">
        <f t="shared" si="2"/>
        <v>3</v>
      </c>
      <c r="G44" s="18">
        <f t="shared" si="2"/>
        <v>69.5</v>
      </c>
      <c r="H44" s="18">
        <f t="shared" si="2"/>
        <v>342</v>
      </c>
      <c r="I44" s="18">
        <f t="shared" si="2"/>
        <v>0</v>
      </c>
      <c r="J44" s="18">
        <f t="shared" si="2"/>
        <v>968.66666666666663</v>
      </c>
      <c r="K44" s="67"/>
      <c r="S44" s="273"/>
      <c r="T44" s="273"/>
      <c r="U44" s="273"/>
      <c r="V44" s="273"/>
      <c r="W44" s="273"/>
      <c r="X44" s="273"/>
      <c r="Y44" s="273"/>
    </row>
    <row r="45" spans="1:25">
      <c r="A45" s="55">
        <f t="shared" si="0"/>
        <v>38</v>
      </c>
      <c r="S45" s="273"/>
      <c r="T45" s="273"/>
      <c r="U45" s="273"/>
      <c r="V45" s="273"/>
      <c r="W45" s="273"/>
      <c r="X45" s="273"/>
      <c r="Y45" s="273"/>
    </row>
    <row r="46" spans="1:25">
      <c r="A46" s="55">
        <f t="shared" si="0"/>
        <v>39</v>
      </c>
      <c r="B46" s="28" t="s">
        <v>409</v>
      </c>
      <c r="C46" s="158"/>
      <c r="D46" s="159"/>
      <c r="E46" s="159"/>
      <c r="F46" s="159"/>
      <c r="G46" s="160"/>
      <c r="H46" s="160"/>
      <c r="I46" s="161"/>
    </row>
    <row r="47" spans="1:25">
      <c r="A47" s="55">
        <f t="shared" si="0"/>
        <v>40</v>
      </c>
      <c r="B47" s="28" t="s">
        <v>410</v>
      </c>
      <c r="C47" s="158"/>
      <c r="G47" s="160"/>
    </row>
    <row r="48" spans="1:25">
      <c r="A48" s="55"/>
      <c r="B48" s="28"/>
      <c r="D48" s="30"/>
      <c r="E48" s="30"/>
    </row>
    <row r="49" spans="1:5">
      <c r="A49" s="55"/>
      <c r="B49" s="28"/>
      <c r="D49" s="30"/>
      <c r="E49" s="30"/>
    </row>
    <row r="50" spans="1:5">
      <c r="A50" s="55"/>
      <c r="B50" s="30"/>
      <c r="C50" s="30"/>
      <c r="D50" s="30"/>
      <c r="E50" s="30"/>
    </row>
    <row r="51" spans="1:5">
      <c r="A51" s="55"/>
      <c r="B51" s="30"/>
      <c r="C51" s="30"/>
      <c r="D51" s="30"/>
      <c r="E51" s="30"/>
    </row>
    <row r="52" spans="1:5">
      <c r="B52" s="30"/>
      <c r="C52" s="30"/>
      <c r="D52" s="30"/>
      <c r="E52" s="30"/>
    </row>
    <row r="53" spans="1:5">
      <c r="B53" s="30"/>
      <c r="C53" s="30"/>
      <c r="D53" s="30"/>
      <c r="E53" s="30"/>
    </row>
    <row r="54" spans="1:5">
      <c r="B54" s="30"/>
      <c r="C54" s="30"/>
      <c r="D54" s="30"/>
      <c r="E54" s="30"/>
    </row>
    <row r="55" spans="1:5">
      <c r="B55" s="30"/>
      <c r="C55" s="30"/>
      <c r="D55" s="30"/>
      <c r="E55" s="30"/>
    </row>
    <row r="56" spans="1:5">
      <c r="B56" s="30"/>
      <c r="C56" s="30"/>
      <c r="D56" s="30"/>
      <c r="E56" s="30"/>
    </row>
    <row r="57" spans="1:5">
      <c r="B57" s="30"/>
      <c r="C57" s="30"/>
      <c r="D57" s="30"/>
      <c r="E57" s="30"/>
    </row>
    <row r="58" spans="1:5">
      <c r="B58" s="30"/>
      <c r="C58" s="30"/>
      <c r="D58" s="30"/>
      <c r="E58" s="30"/>
    </row>
    <row r="59" spans="1:5">
      <c r="B59" s="162"/>
      <c r="C59" s="162"/>
      <c r="D59" s="162"/>
      <c r="E59" s="162"/>
    </row>
    <row r="114" spans="8:10">
      <c r="H114" s="29" t="s">
        <v>200</v>
      </c>
      <c r="I114" s="29">
        <f>+K183</f>
        <v>0</v>
      </c>
    </row>
    <row r="115" spans="8:10">
      <c r="I115" s="29">
        <f>+I114</f>
        <v>0</v>
      </c>
    </row>
    <row r="128" spans="8:10">
      <c r="I128" s="29">
        <f>+I6</f>
        <v>0</v>
      </c>
      <c r="J128" s="29">
        <f>+J6</f>
        <v>0</v>
      </c>
    </row>
    <row r="206" spans="9:10">
      <c r="I206" s="29">
        <f>I6</f>
        <v>0</v>
      </c>
      <c r="J206" s="29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120"/>
  <sheetViews>
    <sheetView zoomScale="110" zoomScaleNormal="110" zoomScalePageLayoutView="125" workbookViewId="0">
      <selection activeCell="H23" sqref="H23"/>
    </sheetView>
  </sheetViews>
  <sheetFormatPr defaultColWidth="8.5546875" defaultRowHeight="11.25"/>
  <cols>
    <col min="1" max="1" width="3.88671875" style="32" customWidth="1"/>
    <col min="2" max="2" width="18.44140625" style="32" customWidth="1"/>
    <col min="3" max="3" width="11.88671875" style="32" customWidth="1"/>
    <col min="4" max="4" width="10.109375" style="32" customWidth="1"/>
    <col min="5" max="5" width="0.88671875" style="32" customWidth="1"/>
    <col min="6" max="6" width="10.109375" style="32" customWidth="1"/>
    <col min="7" max="7" width="8.5546875" style="32" customWidth="1"/>
    <col min="8" max="8" width="8" style="32" customWidth="1"/>
    <col min="9" max="10" width="8.5546875" style="32"/>
    <col min="11" max="11" width="9.33203125" style="32" bestFit="1" customWidth="1"/>
    <col min="12" max="12" width="8.5546875" style="32"/>
    <col min="13" max="13" width="11.88671875" style="32" customWidth="1"/>
    <col min="14" max="16384" width="8.5546875" style="32"/>
  </cols>
  <sheetData>
    <row r="1" spans="1:11" ht="12.75">
      <c r="C1" s="134"/>
      <c r="H1" s="52" t="str">
        <f>'CU AC Rate Design - True-Up'!H1</f>
        <v>Date: May 31, 2023</v>
      </c>
      <c r="J1" s="135"/>
    </row>
    <row r="2" spans="1:11">
      <c r="C2" s="38"/>
      <c r="D2" s="38"/>
      <c r="H2" s="52" t="s">
        <v>456</v>
      </c>
    </row>
    <row r="3" spans="1:11" ht="12.75">
      <c r="B3" s="333"/>
      <c r="C3" s="333"/>
      <c r="D3" s="333"/>
      <c r="E3" s="333"/>
      <c r="F3" s="333"/>
      <c r="G3" s="333"/>
      <c r="H3" s="333"/>
      <c r="J3" s="135"/>
    </row>
    <row r="4" spans="1:11" ht="12.75">
      <c r="B4" s="136"/>
      <c r="C4" s="134"/>
    </row>
    <row r="5" spans="1:11" ht="12" customHeight="1">
      <c r="B5" s="137"/>
    </row>
    <row r="8" spans="1:11" ht="13.5" customHeight="1">
      <c r="A8" s="138" t="s">
        <v>196</v>
      </c>
      <c r="D8" s="35" t="s">
        <v>300</v>
      </c>
      <c r="F8" s="35" t="s">
        <v>248</v>
      </c>
      <c r="G8" s="35"/>
      <c r="H8" s="35" t="s">
        <v>301</v>
      </c>
    </row>
    <row r="9" spans="1:11" ht="13.5" customHeight="1">
      <c r="A9" s="139" t="s">
        <v>197</v>
      </c>
      <c r="B9" s="43" t="s">
        <v>322</v>
      </c>
      <c r="C9" s="139" t="s">
        <v>302</v>
      </c>
      <c r="D9" s="139" t="s">
        <v>198</v>
      </c>
      <c r="F9" s="139" t="s">
        <v>303</v>
      </c>
      <c r="G9" s="139" t="s">
        <v>199</v>
      </c>
      <c r="H9" s="139" t="s">
        <v>198</v>
      </c>
    </row>
    <row r="10" spans="1:11" ht="13.5" customHeight="1">
      <c r="G10" s="36"/>
    </row>
    <row r="11" spans="1:11">
      <c r="A11" s="35">
        <v>1</v>
      </c>
      <c r="B11" s="32" t="s">
        <v>463</v>
      </c>
      <c r="C11" s="32" t="s">
        <v>397</v>
      </c>
      <c r="D11" s="44">
        <f>145036+712958+207247+293386+634604+5366+18942+123973</f>
        <v>2141512</v>
      </c>
      <c r="F11" s="35" t="s">
        <v>387</v>
      </c>
      <c r="G11" s="36">
        <v>1</v>
      </c>
      <c r="H11" s="44">
        <f>D11*G11</f>
        <v>2141512</v>
      </c>
      <c r="J11" s="44"/>
    </row>
    <row r="12" spans="1:11">
      <c r="A12" s="35">
        <f>+A11+1</f>
        <v>2</v>
      </c>
      <c r="B12" s="32" t="s">
        <v>65</v>
      </c>
      <c r="C12" s="32" t="s">
        <v>399</v>
      </c>
      <c r="D12" s="44">
        <v>5366</v>
      </c>
      <c r="F12" s="35" t="s">
        <v>387</v>
      </c>
      <c r="G12" s="36">
        <f>+G11</f>
        <v>1</v>
      </c>
      <c r="H12" s="44">
        <f>D12*G12</f>
        <v>5366</v>
      </c>
      <c r="J12" s="44"/>
    </row>
    <row r="13" spans="1:11">
      <c r="A13" s="35">
        <f t="shared" ref="A13:A34" si="0">+A12+1</f>
        <v>3</v>
      </c>
      <c r="B13" s="32" t="s">
        <v>66</v>
      </c>
      <c r="C13" s="32" t="s">
        <v>400</v>
      </c>
      <c r="D13" s="44">
        <v>18942</v>
      </c>
      <c r="F13" s="35" t="s">
        <v>387</v>
      </c>
      <c r="G13" s="36">
        <f>+G12</f>
        <v>1</v>
      </c>
      <c r="H13" s="44">
        <f>D13*G13</f>
        <v>18942</v>
      </c>
      <c r="J13" s="44"/>
      <c r="K13" s="265"/>
    </row>
    <row r="14" spans="1:11" ht="12" thickBot="1">
      <c r="A14" s="35">
        <f t="shared" si="0"/>
        <v>4</v>
      </c>
      <c r="B14" s="37" t="s">
        <v>325</v>
      </c>
      <c r="C14" s="38"/>
      <c r="D14" s="39">
        <f>+D11-D12-D13</f>
        <v>2117204</v>
      </c>
      <c r="H14" s="40">
        <f>+H11-H12-H13</f>
        <v>2117204</v>
      </c>
    </row>
    <row r="15" spans="1:11">
      <c r="A15" s="35">
        <f t="shared" si="0"/>
        <v>5</v>
      </c>
    </row>
    <row r="16" spans="1:11">
      <c r="A16" s="35">
        <f t="shared" si="0"/>
        <v>6</v>
      </c>
      <c r="B16" s="43" t="s">
        <v>464</v>
      </c>
    </row>
    <row r="17" spans="1:7">
      <c r="A17" s="35">
        <f t="shared" si="0"/>
        <v>7</v>
      </c>
      <c r="B17" s="32" t="s">
        <v>304</v>
      </c>
      <c r="C17" s="32" t="s">
        <v>398</v>
      </c>
      <c r="D17" s="44">
        <f>154057+736910+256629+280097+639603+258-18544+135015</f>
        <v>2184025</v>
      </c>
      <c r="F17" s="44"/>
    </row>
    <row r="18" spans="1:7">
      <c r="A18" s="35">
        <f t="shared" si="0"/>
        <v>8</v>
      </c>
      <c r="B18" s="32" t="s">
        <v>65</v>
      </c>
      <c r="C18" s="32" t="s">
        <v>67</v>
      </c>
      <c r="D18" s="44">
        <v>258</v>
      </c>
      <c r="F18" s="44"/>
      <c r="G18" s="78"/>
    </row>
    <row r="19" spans="1:7">
      <c r="A19" s="35">
        <f t="shared" si="0"/>
        <v>9</v>
      </c>
      <c r="B19" s="32" t="s">
        <v>66</v>
      </c>
      <c r="C19" s="32" t="s">
        <v>68</v>
      </c>
      <c r="D19" s="44">
        <v>-18544</v>
      </c>
      <c r="F19" s="44"/>
      <c r="G19" s="78"/>
    </row>
    <row r="20" spans="1:7" ht="12" thickBot="1">
      <c r="A20" s="35">
        <f t="shared" si="0"/>
        <v>10</v>
      </c>
      <c r="D20" s="39">
        <f>+D17-D18-D19</f>
        <v>2202311</v>
      </c>
      <c r="F20" s="78"/>
      <c r="G20" s="78"/>
    </row>
    <row r="21" spans="1:7">
      <c r="A21" s="35">
        <f t="shared" si="0"/>
        <v>11</v>
      </c>
      <c r="D21" s="45"/>
      <c r="F21" s="78"/>
      <c r="G21" s="78"/>
    </row>
    <row r="22" spans="1:7">
      <c r="A22" s="35">
        <f t="shared" si="0"/>
        <v>12</v>
      </c>
      <c r="B22" s="32" t="str">
        <f>"True-up Amount to be (Refunded)/Paid (line "&amp;A20&amp;"-line "&amp;A14&amp;")"</f>
        <v>True-up Amount to be (Refunded)/Paid (line 10-line 4)</v>
      </c>
      <c r="D22" s="45">
        <f>D20-D14</f>
        <v>85107</v>
      </c>
      <c r="F22" s="78"/>
      <c r="G22" s="78"/>
    </row>
    <row r="23" spans="1:7">
      <c r="A23" s="35">
        <f t="shared" si="0"/>
        <v>13</v>
      </c>
      <c r="F23" s="78"/>
      <c r="G23" s="78"/>
    </row>
    <row r="24" spans="1:7">
      <c r="A24" s="35">
        <f t="shared" si="0"/>
        <v>14</v>
      </c>
    </row>
    <row r="25" spans="1:7">
      <c r="A25" s="35">
        <f t="shared" si="0"/>
        <v>15</v>
      </c>
      <c r="B25" s="41" t="s">
        <v>305</v>
      </c>
    </row>
    <row r="26" spans="1:7">
      <c r="A26" s="35">
        <f t="shared" si="0"/>
        <v>16</v>
      </c>
    </row>
    <row r="27" spans="1:7" ht="12.75">
      <c r="A27" s="35">
        <f t="shared" si="0"/>
        <v>17</v>
      </c>
      <c r="B27" s="32" t="s">
        <v>306</v>
      </c>
      <c r="D27" s="49">
        <f>D20</f>
        <v>2202311</v>
      </c>
    </row>
    <row r="28" spans="1:7" ht="12.75">
      <c r="A28" s="35">
        <f t="shared" si="0"/>
        <v>18</v>
      </c>
      <c r="B28" s="50" t="s">
        <v>307</v>
      </c>
      <c r="D28" s="51">
        <f>'WP7 CU AC LOADS'!J24*1000</f>
        <v>990250</v>
      </c>
      <c r="F28" s="140" t="s">
        <v>308</v>
      </c>
      <c r="G28" s="32" t="s">
        <v>457</v>
      </c>
    </row>
    <row r="29" spans="1:7" ht="12">
      <c r="A29" s="35">
        <f t="shared" si="0"/>
        <v>19</v>
      </c>
      <c r="F29" s="140"/>
    </row>
    <row r="30" spans="1:7" ht="12.75">
      <c r="A30" s="35">
        <f t="shared" si="0"/>
        <v>20</v>
      </c>
      <c r="B30" s="52" t="s">
        <v>309</v>
      </c>
      <c r="D30" s="53">
        <f>D27/D28</f>
        <v>2.2239949507700074</v>
      </c>
      <c r="E30" s="32" t="s">
        <v>310</v>
      </c>
      <c r="F30" s="141" t="s">
        <v>311</v>
      </c>
      <c r="G30" s="32" t="s">
        <v>14</v>
      </c>
    </row>
    <row r="31" spans="1:7" ht="12.75">
      <c r="A31" s="35">
        <f t="shared" si="0"/>
        <v>21</v>
      </c>
      <c r="B31" s="52" t="s">
        <v>312</v>
      </c>
      <c r="D31" s="53">
        <f>D30/12</f>
        <v>0.18533291256416728</v>
      </c>
      <c r="E31" s="32" t="s">
        <v>310</v>
      </c>
      <c r="F31" s="141" t="s">
        <v>313</v>
      </c>
      <c r="G31" s="32" t="s">
        <v>15</v>
      </c>
    </row>
    <row r="32" spans="1:7" ht="12.75">
      <c r="A32" s="35">
        <f t="shared" si="0"/>
        <v>22</v>
      </c>
      <c r="B32" s="52" t="s">
        <v>314</v>
      </c>
      <c r="D32" s="53">
        <f>D30/52</f>
        <v>4.2769133668653987E-2</v>
      </c>
      <c r="E32" s="32" t="s">
        <v>310</v>
      </c>
      <c r="F32" s="141" t="s">
        <v>315</v>
      </c>
      <c r="G32" s="32" t="s">
        <v>16</v>
      </c>
    </row>
    <row r="33" spans="1:8" ht="12.75">
      <c r="A33" s="35">
        <f t="shared" si="0"/>
        <v>23</v>
      </c>
      <c r="B33" s="52" t="s">
        <v>316</v>
      </c>
      <c r="C33" s="35" t="s">
        <v>323</v>
      </c>
      <c r="D33" s="53">
        <f>D30/365</f>
        <v>6.093136851424678E-3</v>
      </c>
      <c r="E33" s="32" t="s">
        <v>310</v>
      </c>
      <c r="F33" s="141" t="s">
        <v>317</v>
      </c>
      <c r="G33" s="32" t="s">
        <v>17</v>
      </c>
    </row>
    <row r="34" spans="1:8" ht="12.75">
      <c r="A34" s="35">
        <f t="shared" si="0"/>
        <v>24</v>
      </c>
      <c r="B34" s="52" t="s">
        <v>318</v>
      </c>
      <c r="C34" s="35" t="s">
        <v>324</v>
      </c>
      <c r="D34" s="53">
        <f>(D30/8760)*1000</f>
        <v>0.25388070214269493</v>
      </c>
      <c r="E34" s="32" t="s">
        <v>310</v>
      </c>
      <c r="F34" s="141" t="s">
        <v>319</v>
      </c>
      <c r="G34" s="32" t="s">
        <v>18</v>
      </c>
    </row>
    <row r="35" spans="1:8">
      <c r="B35" s="52"/>
    </row>
    <row r="42" spans="1:8" ht="10.5" customHeight="1"/>
    <row r="46" spans="1:8" ht="15.75">
      <c r="H46" s="142"/>
    </row>
    <row r="47" spans="1:8" ht="15">
      <c r="H47" s="143"/>
    </row>
    <row r="48" spans="1:8">
      <c r="H48" s="32" t="s">
        <v>194</v>
      </c>
    </row>
    <row r="52" spans="1:9" ht="14.25">
      <c r="C52" s="144"/>
    </row>
    <row r="53" spans="1:9" ht="14.25">
      <c r="C53" s="144"/>
    </row>
    <row r="54" spans="1:9" ht="14.25">
      <c r="C54" s="145"/>
    </row>
    <row r="55" spans="1:9" ht="15">
      <c r="A55" s="73"/>
      <c r="B55" s="73"/>
      <c r="C55" s="73"/>
      <c r="D55" s="73"/>
      <c r="E55" s="73"/>
      <c r="F55" s="73"/>
      <c r="G55" s="73"/>
      <c r="H55" s="73"/>
      <c r="I55" s="73"/>
    </row>
    <row r="56" spans="1:9" ht="1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5">
      <c r="A59" s="73"/>
      <c r="B59" s="73"/>
      <c r="C59" s="73"/>
      <c r="D59" s="73"/>
      <c r="E59" s="73"/>
      <c r="F59" s="73"/>
      <c r="G59" s="73"/>
      <c r="H59" s="73"/>
      <c r="I59" s="73"/>
    </row>
    <row r="60" spans="1:9" ht="15">
      <c r="A60" s="73"/>
      <c r="B60" s="73"/>
      <c r="C60" s="73"/>
      <c r="D60" s="73"/>
      <c r="E60" s="73"/>
      <c r="F60" s="73"/>
      <c r="G60" s="73"/>
      <c r="H60" s="73"/>
      <c r="I60" s="73"/>
    </row>
    <row r="61" spans="1:9" ht="15">
      <c r="A61" s="73"/>
      <c r="B61" s="73"/>
      <c r="C61" s="73"/>
      <c r="D61" s="73"/>
      <c r="E61" s="73"/>
      <c r="F61" s="73"/>
      <c r="G61" s="73"/>
      <c r="H61" s="73"/>
      <c r="I61" s="73"/>
    </row>
    <row r="62" spans="1:9" ht="15">
      <c r="A62" s="73"/>
      <c r="B62" s="73"/>
      <c r="C62" s="73"/>
      <c r="D62" s="73"/>
      <c r="E62" s="73"/>
      <c r="F62" s="73"/>
      <c r="G62" s="73"/>
      <c r="H62" s="73"/>
      <c r="I62" s="73"/>
    </row>
    <row r="63" spans="1:9" ht="15">
      <c r="A63" s="73"/>
      <c r="B63" s="73"/>
      <c r="C63" s="73"/>
      <c r="D63" s="73"/>
      <c r="E63" s="73"/>
      <c r="F63" s="73"/>
      <c r="G63" s="73"/>
      <c r="H63" s="73"/>
      <c r="I63" s="73"/>
    </row>
    <row r="64" spans="1:9" ht="15">
      <c r="A64" s="73"/>
      <c r="B64" s="73"/>
      <c r="C64" s="73"/>
      <c r="D64" s="73"/>
      <c r="E64" s="73"/>
      <c r="F64" s="73"/>
      <c r="G64" s="73"/>
      <c r="H64" s="73"/>
      <c r="I64" s="73"/>
    </row>
    <row r="65" spans="1:9" ht="15">
      <c r="A65" s="73"/>
      <c r="B65" s="73"/>
      <c r="C65" s="73"/>
      <c r="D65" s="73"/>
      <c r="E65" s="73"/>
      <c r="F65" s="73"/>
      <c r="G65" s="73"/>
      <c r="H65" s="73"/>
      <c r="I65" s="73"/>
    </row>
    <row r="66" spans="1:9" ht="15">
      <c r="A66" s="73"/>
      <c r="B66" s="73"/>
      <c r="C66" s="73"/>
      <c r="D66" s="73"/>
      <c r="E66" s="73"/>
      <c r="F66" s="73"/>
      <c r="G66" s="73"/>
      <c r="H66" s="73"/>
      <c r="I66" s="73"/>
    </row>
    <row r="67" spans="1:9" ht="15">
      <c r="A67" s="73"/>
      <c r="B67" s="73"/>
      <c r="C67" s="73"/>
      <c r="D67" s="73"/>
      <c r="E67" s="73"/>
      <c r="F67" s="73"/>
      <c r="G67" s="73"/>
      <c r="H67" s="73"/>
      <c r="I67" s="73"/>
    </row>
    <row r="68" spans="1:9" ht="15">
      <c r="A68" s="73"/>
      <c r="B68" s="73"/>
      <c r="C68" s="73"/>
      <c r="D68" s="73"/>
      <c r="E68" s="73"/>
      <c r="F68" s="73"/>
      <c r="G68" s="73"/>
      <c r="H68" s="73"/>
      <c r="I68" s="73"/>
    </row>
    <row r="69" spans="1:9" ht="15">
      <c r="A69" s="73"/>
      <c r="B69" s="73"/>
      <c r="C69" s="73"/>
      <c r="D69" s="73"/>
      <c r="E69" s="73"/>
      <c r="F69" s="73"/>
      <c r="G69" s="73"/>
      <c r="H69" s="73"/>
      <c r="I69" s="73"/>
    </row>
    <row r="70" spans="1:9" ht="15">
      <c r="A70" s="73"/>
      <c r="B70" s="73"/>
      <c r="C70" s="73"/>
      <c r="D70" s="73"/>
      <c r="E70" s="73"/>
      <c r="F70" s="73"/>
      <c r="G70" s="73"/>
      <c r="H70" s="73"/>
      <c r="I70" s="73"/>
    </row>
    <row r="71" spans="1:9" ht="15">
      <c r="A71" s="73"/>
      <c r="B71" s="73"/>
      <c r="C71" s="73"/>
      <c r="D71" s="73"/>
      <c r="E71" s="73"/>
      <c r="F71" s="73"/>
      <c r="G71" s="73"/>
      <c r="H71" s="73"/>
      <c r="I71" s="73"/>
    </row>
    <row r="72" spans="1:9" ht="15">
      <c r="A72" s="73"/>
      <c r="B72" s="73"/>
      <c r="C72" s="73"/>
      <c r="D72" s="73"/>
      <c r="E72" s="73"/>
      <c r="F72" s="73"/>
      <c r="G72" s="73"/>
      <c r="H72" s="73"/>
      <c r="I72" s="73"/>
    </row>
    <row r="73" spans="1:9" ht="15">
      <c r="A73" s="73"/>
      <c r="B73" s="73"/>
      <c r="C73" s="73"/>
      <c r="D73" s="73"/>
      <c r="E73" s="73"/>
      <c r="F73" s="73"/>
      <c r="G73" s="73"/>
      <c r="H73" s="73"/>
      <c r="I73" s="73"/>
    </row>
    <row r="74" spans="1:9" ht="15">
      <c r="A74" s="73"/>
      <c r="B74" s="73"/>
      <c r="C74" s="73"/>
      <c r="D74" s="73"/>
      <c r="E74" s="73"/>
      <c r="F74" s="73"/>
      <c r="G74" s="73"/>
      <c r="H74" s="73"/>
      <c r="I74" s="73"/>
    </row>
    <row r="75" spans="1:9" ht="15">
      <c r="A75" s="73"/>
      <c r="B75" s="73"/>
      <c r="C75" s="73"/>
      <c r="D75" s="73"/>
      <c r="E75" s="73"/>
      <c r="F75" s="73"/>
      <c r="G75" s="73"/>
      <c r="H75" s="73"/>
      <c r="I75" s="73"/>
    </row>
    <row r="76" spans="1:9" ht="15">
      <c r="A76" s="73"/>
      <c r="B76" s="73"/>
      <c r="C76" s="73"/>
      <c r="D76" s="73"/>
      <c r="E76" s="73"/>
      <c r="F76" s="73"/>
      <c r="G76" s="73"/>
      <c r="H76" s="73"/>
      <c r="I76" s="73"/>
    </row>
    <row r="77" spans="1:9" ht="15">
      <c r="A77" s="73"/>
      <c r="B77" s="73"/>
      <c r="C77" s="73"/>
      <c r="D77" s="73"/>
      <c r="E77" s="73"/>
      <c r="F77" s="73"/>
      <c r="G77" s="73"/>
      <c r="H77" s="73"/>
      <c r="I77" s="73"/>
    </row>
    <row r="78" spans="1:9" ht="15">
      <c r="A78" s="73"/>
      <c r="B78" s="73"/>
      <c r="C78" s="73"/>
      <c r="D78" s="73"/>
      <c r="E78" s="73"/>
      <c r="F78" s="73"/>
      <c r="G78" s="73"/>
      <c r="H78" s="73"/>
      <c r="I78" s="73"/>
    </row>
    <row r="79" spans="1:9" ht="15">
      <c r="A79" s="73"/>
      <c r="B79" s="73"/>
      <c r="C79" s="73"/>
      <c r="D79" s="73"/>
      <c r="E79" s="73"/>
      <c r="F79" s="73"/>
      <c r="G79" s="73"/>
      <c r="H79" s="73"/>
      <c r="I79" s="73"/>
    </row>
    <row r="80" spans="1:9" ht="15">
      <c r="A80" s="73"/>
      <c r="B80" s="73"/>
      <c r="C80" s="73"/>
      <c r="D80" s="73"/>
      <c r="E80" s="73"/>
      <c r="F80" s="73"/>
      <c r="G80" s="73"/>
      <c r="H80" s="73"/>
      <c r="I80" s="73"/>
    </row>
    <row r="81" spans="1:18" ht="15">
      <c r="A81" s="73"/>
      <c r="B81" s="73"/>
      <c r="C81" s="73"/>
      <c r="D81" s="73"/>
      <c r="E81" s="73"/>
      <c r="F81" s="73"/>
      <c r="G81" s="73"/>
      <c r="H81" s="73"/>
      <c r="I81" s="73"/>
    </row>
    <row r="82" spans="1:18" ht="15">
      <c r="A82" s="73"/>
      <c r="B82" s="73"/>
      <c r="C82" s="73"/>
      <c r="D82" s="73"/>
      <c r="E82" s="73"/>
      <c r="F82" s="73"/>
      <c r="G82" s="73"/>
      <c r="H82" s="73"/>
      <c r="I82" s="73"/>
    </row>
    <row r="83" spans="1:18" ht="15">
      <c r="A83" s="73"/>
      <c r="B83" s="73"/>
      <c r="C83" s="73"/>
      <c r="D83" s="73"/>
      <c r="E83" s="73"/>
      <c r="F83" s="73"/>
      <c r="G83" s="73"/>
      <c r="H83" s="73"/>
      <c r="I83" s="73"/>
    </row>
    <row r="84" spans="1:18" ht="15">
      <c r="A84" s="73"/>
      <c r="B84" s="73"/>
      <c r="C84" s="73"/>
      <c r="D84" s="73"/>
      <c r="E84" s="73"/>
      <c r="F84" s="73"/>
      <c r="G84" s="73"/>
      <c r="H84" s="73"/>
      <c r="I84" s="73"/>
    </row>
    <row r="85" spans="1:18" ht="15">
      <c r="A85" s="73"/>
      <c r="B85" s="73"/>
      <c r="C85" s="73"/>
      <c r="D85" s="73"/>
      <c r="E85" s="73"/>
      <c r="F85" s="73"/>
      <c r="G85" s="73"/>
      <c r="H85" s="73"/>
      <c r="I85" s="73"/>
    </row>
    <row r="86" spans="1:18" ht="15">
      <c r="A86" s="73"/>
      <c r="B86" s="73"/>
      <c r="C86" s="73"/>
      <c r="D86" s="73"/>
      <c r="E86" s="73"/>
      <c r="F86" s="73"/>
      <c r="G86" s="73"/>
      <c r="H86" s="73"/>
      <c r="I86" s="73"/>
    </row>
    <row r="87" spans="1:18" ht="15">
      <c r="A87" s="73"/>
      <c r="B87" s="73"/>
      <c r="C87" s="73"/>
      <c r="D87" s="73"/>
      <c r="E87" s="73"/>
      <c r="F87" s="73"/>
      <c r="G87" s="73"/>
      <c r="H87" s="73"/>
      <c r="I87" s="73"/>
    </row>
    <row r="88" spans="1:18" ht="15">
      <c r="A88" s="73"/>
      <c r="B88" s="73"/>
      <c r="C88" s="73"/>
      <c r="D88" s="73"/>
      <c r="E88" s="73"/>
      <c r="F88" s="73"/>
      <c r="G88" s="73"/>
      <c r="H88" s="73"/>
      <c r="I88" s="73"/>
    </row>
    <row r="89" spans="1:18" ht="15">
      <c r="A89" s="73"/>
      <c r="B89" s="73"/>
      <c r="C89" s="73"/>
      <c r="D89" s="73"/>
      <c r="E89" s="73"/>
      <c r="F89" s="73"/>
      <c r="G89" s="73"/>
      <c r="H89" s="73"/>
      <c r="I89" s="73"/>
    </row>
    <row r="90" spans="1:18" ht="15">
      <c r="A90" s="73"/>
      <c r="B90" s="73"/>
      <c r="C90" s="73"/>
      <c r="D90" s="73"/>
      <c r="E90" s="73"/>
      <c r="F90" s="73"/>
      <c r="G90" s="73"/>
      <c r="H90" s="73"/>
      <c r="I90" s="73"/>
    </row>
    <row r="91" spans="1:18" ht="15">
      <c r="A91" s="73"/>
      <c r="B91" s="73"/>
      <c r="C91" s="73"/>
      <c r="D91" s="73"/>
      <c r="E91" s="73"/>
      <c r="F91" s="73"/>
      <c r="G91" s="73"/>
      <c r="H91" s="73"/>
      <c r="I91" s="73"/>
    </row>
    <row r="92" spans="1:18" ht="15">
      <c r="A92" s="73"/>
      <c r="B92" s="73"/>
      <c r="C92" s="73"/>
      <c r="D92" s="73"/>
      <c r="E92" s="73"/>
      <c r="F92" s="73"/>
      <c r="G92" s="73"/>
      <c r="H92" s="73"/>
      <c r="I92" s="73"/>
      <c r="M92" s="146"/>
      <c r="O92" s="146"/>
      <c r="P92" s="146"/>
      <c r="Q92" s="146"/>
      <c r="R92" s="146"/>
    </row>
    <row r="93" spans="1:18" ht="15">
      <c r="A93" s="73"/>
      <c r="B93" s="73"/>
      <c r="C93" s="73"/>
      <c r="D93" s="73"/>
      <c r="E93" s="73"/>
      <c r="F93" s="73"/>
      <c r="G93" s="73"/>
      <c r="H93" s="73"/>
      <c r="I93" s="73"/>
      <c r="J93" s="146"/>
    </row>
    <row r="94" spans="1:18" ht="15">
      <c r="A94" s="73"/>
      <c r="B94" s="73"/>
      <c r="C94" s="73"/>
      <c r="D94" s="73"/>
      <c r="E94" s="73"/>
      <c r="F94" s="73"/>
      <c r="G94" s="73"/>
      <c r="H94" s="73"/>
      <c r="I94" s="73"/>
      <c r="M94" s="146"/>
      <c r="O94" s="146"/>
      <c r="P94" s="146"/>
      <c r="Q94" s="146"/>
      <c r="R94" s="146"/>
    </row>
    <row r="95" spans="1:18" ht="15">
      <c r="A95" s="73"/>
      <c r="B95" s="73"/>
      <c r="C95" s="73"/>
      <c r="D95" s="73"/>
      <c r="E95" s="73"/>
      <c r="F95" s="73"/>
      <c r="G95" s="73"/>
      <c r="H95" s="73"/>
      <c r="I95" s="73"/>
    </row>
    <row r="96" spans="1:18" ht="15">
      <c r="A96" s="73"/>
      <c r="B96" s="73"/>
      <c r="C96" s="73"/>
      <c r="D96" s="73"/>
      <c r="E96" s="73"/>
      <c r="F96" s="73"/>
      <c r="G96" s="73"/>
      <c r="H96" s="73"/>
      <c r="I96" s="73"/>
    </row>
    <row r="97" spans="1:9" ht="15">
      <c r="A97" s="73"/>
      <c r="B97" s="73"/>
      <c r="C97" s="73"/>
      <c r="D97" s="73"/>
      <c r="E97" s="73"/>
      <c r="F97" s="73"/>
      <c r="G97" s="73"/>
      <c r="H97" s="73"/>
      <c r="I97" s="73"/>
    </row>
    <row r="98" spans="1:9" ht="15">
      <c r="A98" s="73"/>
      <c r="B98" s="73"/>
      <c r="C98" s="73"/>
      <c r="D98" s="73"/>
      <c r="E98" s="73"/>
      <c r="F98" s="73"/>
      <c r="G98" s="73"/>
      <c r="H98" s="73"/>
      <c r="I98" s="73"/>
    </row>
    <row r="99" spans="1:9" ht="15">
      <c r="A99" s="73"/>
      <c r="B99" s="73"/>
      <c r="C99" s="73"/>
      <c r="D99" s="73"/>
      <c r="E99" s="73"/>
      <c r="F99" s="73"/>
      <c r="G99" s="73"/>
      <c r="H99" s="73"/>
      <c r="I99" s="73"/>
    </row>
    <row r="100" spans="1:9" ht="15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ht="15">
      <c r="A101" s="73"/>
      <c r="B101" s="73"/>
      <c r="C101" s="73"/>
      <c r="D101" s="73"/>
      <c r="E101" s="73"/>
      <c r="F101" s="73"/>
      <c r="G101" s="73"/>
      <c r="H101" s="73"/>
      <c r="I101" s="73"/>
    </row>
    <row r="119" spans="7:8">
      <c r="G119" s="32" t="s">
        <v>200</v>
      </c>
      <c r="H119" s="32">
        <f>+J188</f>
        <v>0</v>
      </c>
    </row>
    <row r="120" spans="7:8">
      <c r="H120" s="32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2019-04-05T14:41:30Z</cp:lastPrinted>
  <dcterms:created xsi:type="dcterms:W3CDTF">1997-04-03T19:40:56Z</dcterms:created>
  <dcterms:modified xsi:type="dcterms:W3CDTF">2023-06-01T16:13:51Z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