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2\True-Up\Files for Oasis\"/>
    </mc:Choice>
  </mc:AlternateContent>
  <xr:revisionPtr revIDLastSave="0" documentId="13_ncr:1_{0C5A02EA-EDA7-4234-AF46-AD219238D6FE}" xr6:coauthVersionLast="47" xr6:coauthVersionMax="47" xr10:uidLastSave="{00000000-0000-0000-0000-000000000000}"/>
  <bookViews>
    <workbookView xWindow="15015" yWindow="-16320" windowWidth="29040" windowHeight="15840" tabRatio="911"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'TU-TrueUp'!$A$2:$I$65</definedName>
    <definedName name="Z_5C332329_7D4E_4C16_8567_CAD656F9D2F1_.wvu.PrintTitles" localSheetId="11" hidden="1">'TU-TrueUp'!$2:$4</definedName>
    <definedName name="Z_F04A2B9A_C6FE_4FEB_AD1E_2CF9AC309BE4_.wvu.PrintArea" localSheetId="5" hidden="1">'A4-Rate Base'!$A$1:$I$120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1" l="1"/>
  <c r="F23" i="15" l="1"/>
  <c r="H82" i="23" l="1"/>
  <c r="G82" i="23"/>
  <c r="F82" i="23"/>
  <c r="E82" i="23"/>
  <c r="D82" i="23"/>
  <c r="C46" i="23"/>
  <c r="D23" i="16" l="1"/>
  <c r="D25" i="16" s="1"/>
  <c r="I206" i="9" l="1"/>
  <c r="I200" i="9"/>
  <c r="D190" i="9" l="1"/>
  <c r="D127" i="9" l="1"/>
  <c r="D120" i="9"/>
  <c r="D106" i="9"/>
  <c r="I178" i="9" s="1"/>
  <c r="B54" i="25" l="1"/>
  <c r="B55" i="25"/>
  <c r="N25" i="4" l="1"/>
  <c r="D14" i="16" l="1"/>
  <c r="N24" i="4" l="1"/>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I82" i="23" l="1"/>
  <c r="D62" i="9"/>
  <c r="D64" i="9"/>
  <c r="D58" i="9"/>
  <c r="D229" i="25"/>
  <c r="D50" i="9"/>
  <c r="D231" i="25"/>
  <c r="D63" i="9"/>
  <c r="D233" i="25"/>
  <c r="D65" i="9"/>
  <c r="D78" i="9"/>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H27" i="21" s="1"/>
  <c r="H29" i="21" s="1"/>
  <c r="H32" i="21"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1" i="9" l="1"/>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H21" i="21"/>
  <c r="H23" i="21" s="1"/>
  <c r="G238" i="25"/>
  <c r="I238" i="25" s="1"/>
  <c r="G232" i="25"/>
  <c r="I232" i="25" s="1"/>
  <c r="G109" i="25"/>
  <c r="G104" i="25"/>
  <c r="G108" i="25"/>
  <c r="G55" i="25"/>
  <c r="G106" i="25"/>
  <c r="G50" i="25"/>
  <c r="I54" i="25"/>
  <c r="I49" i="25"/>
  <c r="I191" i="25"/>
  <c r="K191" i="25" s="1"/>
  <c r="I115" i="25"/>
  <c r="I79" i="25"/>
  <c r="D26" i="9" l="1"/>
  <c r="H37" i="21"/>
  <c r="H56" i="21" s="1"/>
  <c r="H53" i="21"/>
  <c r="D29" i="9"/>
  <c r="D31" i="9" s="1"/>
  <c r="D28" i="9"/>
  <c r="D30" i="9" s="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8" i="31" l="1"/>
  <c r="D40" i="31" s="1"/>
  <c r="D39" i="31"/>
  <c r="D41"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l="1"/>
  <c r="I156" i="37"/>
  <c r="J156" i="37" s="1"/>
  <c r="H157" i="37"/>
  <c r="H17" i="37" s="1"/>
  <c r="I17" i="37" s="1"/>
  <c r="J17" i="37" l="1"/>
  <c r="H158" i="37"/>
  <c r="H18" i="37" s="1"/>
  <c r="I18" i="37" s="1"/>
  <c r="I157" i="37"/>
  <c r="J157" i="37" s="1"/>
  <c r="J18" i="37" l="1"/>
  <c r="I158" i="37"/>
  <c r="J158" i="37" s="1"/>
  <c r="H159" i="37"/>
  <c r="H19" i="37" s="1"/>
  <c r="I19" i="37" s="1"/>
  <c r="H160" i="37"/>
  <c r="H20" i="37" s="1"/>
  <c r="I20" i="37" s="1"/>
  <c r="J19" i="37" l="1"/>
  <c r="J20" i="37" s="1"/>
  <c r="I159" i="37"/>
  <c r="J159" i="37" s="1"/>
  <c r="I160" i="37"/>
  <c r="H161" i="37"/>
  <c r="H21" i="37" s="1"/>
  <c r="I21" i="37" s="1"/>
  <c r="J21" i="37" l="1"/>
  <c r="J160" i="37"/>
  <c r="H162" i="37"/>
  <c r="H22" i="37" s="1"/>
  <c r="I22" i="37" s="1"/>
  <c r="J22" i="37" s="1"/>
  <c r="I161" i="37"/>
  <c r="J161" i="37" l="1"/>
  <c r="I162" i="37"/>
  <c r="H163" i="37"/>
  <c r="H23" i="37" s="1"/>
  <c r="J162" i="37" l="1"/>
  <c r="I23" i="37"/>
  <c r="H24" i="37"/>
  <c r="I163" i="37"/>
  <c r="H164" i="37"/>
  <c r="J163" i="37" l="1"/>
  <c r="J170" i="37" s="1"/>
  <c r="J171" i="37" s="1"/>
  <c r="I24" i="37"/>
  <c r="J23" i="37"/>
  <c r="J32" i="37" s="1"/>
  <c r="J33" i="37" s="1"/>
  <c r="I164" i="37"/>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<sst xmlns="http://schemas.openxmlformats.org/spreadsheetml/2006/main" count="2492" uniqueCount="1242">
  <si>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</si>
  <si>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</si>
  <si>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</si>
  <si>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</si>
  <si>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</si>
  <si>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</si>
  <si>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</si>
  <si>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</si>
  <si>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</si>
  <si>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</si>
  <si>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</si>
  <si>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</si>
  <si>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</si>
  <si>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</si>
  <si>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</si>
  <si>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</si>
  <si>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</si>
  <si>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</si>
  <si>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</si>
  <si>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</si>
  <si>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</si>
  <si>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</si>
  <si>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</si>
  <si>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</si>
  <si>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</si>
  <si>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</si>
  <si>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</si>
  <si>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</si>
  <si>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</si>
  <si>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</si>
  <si>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</si>
  <si>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</si>
  <si>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</si>
  <si>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</si>
  <si>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</si>
  <si>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</si>
  <si>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</si>
  <si>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</si>
  <si>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</si>
  <si>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</si>
  <si>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</si>
  <si>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</si>
  <si>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</si>
  <si>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</si>
  <si>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</si>
  <si>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</si>
  <si>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</si>
  <si>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</si>
  <si>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</si>
  <si>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</si>
  <si>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</si>
  <si>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</si>
  <si>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</si>
  <si>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</si>
  <si>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</si>
  <si>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</si>
  <si>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</si>
  <si>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</si>
  <si>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</si>
  <si>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</si>
  <si>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</si>
  <si>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</si>
  <si>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</si>
  <si>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</si>
  <si>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</si>
  <si>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</si>
  <si>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</si>
  <si>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</si>
  <si>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</si>
  <si>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</si>
  <si>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</si>
  <si>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</si>
  <si>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</si>
  <si>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</si>
  <si>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</si>
  <si>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</si>
  <si>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</si>
  <si>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</si>
  <si>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</si>
  <si>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</si>
  <si>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</si>
  <si>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</si>
  <si>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</si>
  <si>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</si>
  <si>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</si>
  <si>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</si>
  <si>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</si>
  <si>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</si>
  <si>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</si>
  <si>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</si>
  <si>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</si>
  <si>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</si>
  <si>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</si>
  <si>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</si>
  <si>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</si>
  <si>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</si>
  <si>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</si>
  <si>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</si>
  <si>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</si>
  <si>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</si>
  <si>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</si>
  <si>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</si>
  <si>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</si>
  <si>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</si>
  <si>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</si>
  <si>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</si>
  <si>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</si>
  <si>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</si>
  <si>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</si>
  <si>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</si>
  <si>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</si>
  <si>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</si>
  <si>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</si>
  <si>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</si>
  <si>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</si>
  <si>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</si>
  <si>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</si>
  <si>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</si>
  <si>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</si>
  <si>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</si>
  <si>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</si>
  <si>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</si>
  <si>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</si>
  <si>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</si>
  <si>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</si>
  <si>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</si>
  <si>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</si>
  <si>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</si>
  <si>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</si>
  <si>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</si>
  <si>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</si>
  <si>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</si>
  <si>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</si>
  <si>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</si>
  <si>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</si>
  <si>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</si>
  <si>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</si>
  <si>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</si>
  <si>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</si>
  <si>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</si>
  <si>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</si>
  <si>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</si>
  <si>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</si>
  <si>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</si>
  <si>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</si>
  <si>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</si>
  <si>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</si>
  <si>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</si>
  <si>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</si>
  <si>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</si>
  <si>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</si>
  <si>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</si>
  <si>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</si>
  <si>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</si>
  <si>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</si>
  <si>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</si>
  <si>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</si>
  <si>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</si>
  <si>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</si>
  <si>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</si>
  <si>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</si>
  <si>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</si>
  <si>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</si>
  <si>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</si>
  <si>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</si>
  <si>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</si>
  <si>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</si>
  <si>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</si>
  <si>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</si>
  <si>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</si>
  <si>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</si>
  <si>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</si>
  <si>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</si>
  <si>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</si>
  <si>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</si>
  <si>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</si>
  <si>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</si>
  <si>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</si>
  <si>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</si>
  <si>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</si>
  <si>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</si>
  <si>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</si>
  <si>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</si>
  <si>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</si>
  <si>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</si>
  <si>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</si>
  <si>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</si>
  <si>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</si>
  <si>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</si>
  <si>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</si>
  <si>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</si>
  <si>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</si>
  <si>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</si>
  <si>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</si>
  <si>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</si>
  <si>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</si>
  <si>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</si>
  <si>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</si>
  <si>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</si>
  <si>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</si>
  <si>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</si>
  <si>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</si>
  <si>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</si>
  <si>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</si>
  <si>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</si>
  <si>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</si>
  <si>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</si>
  <si>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</si>
  <si>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</si>
  <si>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</si>
  <si>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</si>
  <si>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</si>
  <si>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</si>
  <si>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</si>
  <si>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</si>
  <si>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</si>
  <si>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</si>
  <si>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</si>
  <si>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</si>
  <si>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</si>
  <si>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</si>
  <si>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</si>
  <si>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</si>
  <si>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</si>
  <si>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</si>
  <si>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</si>
  <si>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</si>
  <si>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</si>
  <si>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</si>
  <si>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</si>
  <si>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</si>
  <si>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</si>
  <si>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</si>
  <si>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</si>
  <si>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</si>
  <si>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</si>
  <si>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</si>
  <si>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</si>
  <si>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</si>
  <si>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</si>
  <si>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</si>
  <si>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</si>
  <si>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</si>
  <si>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</si>
  <si>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</si>
  <si>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</si>
  <si>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</si>
  <si>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</si>
  <si>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</si>
  <si>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</si>
  <si>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</si>
  <si>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</si>
  <si>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</si>
  <si>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</si>
  <si>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</si>
  <si>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</si>
  <si>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</si>
  <si>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</si>
  <si>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</si>
  <si>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</si>
  <si>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</si>
  <si>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</si>
  <si>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</si>
  <si>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</si>
  <si>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</si>
  <si>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</si>
  <si>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</si>
  <si>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</si>
  <si>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</si>
  <si>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</si>
  <si>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</si>
  <si>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</si>
  <si>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</si>
  <si>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</si>
  <si>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</si>
  <si>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</si>
  <si>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</si>
  <si>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</si>
  <si>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</si>
  <si>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</si>
  <si>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</si>
  <si>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</si>
  <si>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</si>
  <si>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</si>
  <si>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</si>
  <si>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</si>
  <si>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</si>
  <si>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</si>
  <si>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</si>
  <si>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</si>
  <si>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</si>
  <si>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</si>
  <si>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</si>
  <si>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</si>
  <si>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</si>
  <si>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</si>
  <si>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</si>
  <si>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</si>
  <si>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</si>
  <si>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</si>
  <si>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</si>
  <si>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</si>
  <si>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</si>
  <si>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</si>
  <si>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</si>
  <si>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</si>
  <si>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</si>
  <si>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</si>
  <si>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</si>
  <si>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</si>
  <si>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</si>
  <si>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</si>
  <si>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</si>
  <si>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</si>
  <si>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</si>
  <si>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</si>
  <si>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</si>
  <si>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</si>
  <si>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</si>
  <si>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</si>
  <si>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</si>
  <si>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</si>
  <si>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</si>
  <si>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</si>
  <si>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</si>
  <si>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</si>
  <si>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</si>
  <si>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</si>
  <si>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</si>
  <si>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</si>
  <si>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</si>
  <si>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</si>
  <si>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</si>
  <si>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</si>
  <si>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</si>
  <si>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</si>
  <si>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</si>
  <si>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</si>
  <si>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</si>
  <si>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</si>
  <si>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</si>
  <si>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</si>
  <si>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</si>
  <si>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</si>
  <si>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</si>
  <si>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</si>
  <si>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</si>
  <si>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</si>
  <si>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</si>
  <si>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</si>
  <si>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</si>
  <si>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</si>
  <si>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</si>
  <si>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</si>
  <si>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</si>
  <si>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</si>
  <si>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</si>
  <si>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</si>
  <si>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</si>
  <si>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</si>
  <si>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</si>
  <si>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</si>
  <si>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</si>
  <si>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</si>
  <si>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</si>
  <si>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</si>
  <si>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</si>
  <si>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</si>
  <si>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</si>
  <si>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</si>
  <si>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</si>
  <si>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</si>
  <si>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</si>
  <si>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</si>
  <si>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</si>
  <si>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</si>
  <si>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</si>
  <si>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</si>
  <si>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</si>
  <si>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</si>
  <si>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</si>
  <si>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</si>
  <si>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</si>
  <si>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</si>
  <si>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</si>
  <si>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</si>
  <si>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</si>
  <si>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</si>
  <si>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</si>
  <si>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</si>
  <si>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</si>
  <si>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</si>
  <si>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</si>
  <si>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</si>
  <si>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</si>
  <si>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</si>
  <si>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</si>
  <si>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</si>
  <si>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</si>
  <si>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</si>
  <si>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</si>
  <si>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</si>
  <si>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</si>
  <si>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</si>
  <si>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</si>
  <si>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</si>
  <si>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</si>
  <si>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</si>
  <si>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</si>
  <si>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</si>
  <si>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</si>
  <si>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</si>
  <si>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</si>
  <si>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</si>
  <si>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</si>
  <si>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</si>
  <si>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</si>
  <si>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</si>
  <si>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</si>
  <si>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</si>
  <si>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</si>
  <si>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</si>
  <si>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</si>
  <si>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</si>
  <si>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</si>
  <si>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</si>
  <si>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</si>
  <si>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</si>
  <si>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</si>
  <si>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</si>
  <si>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</si>
  <si>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</si>
  <si>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</si>
  <si>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</si>
  <si>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</si>
  <si>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</si>
  <si>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</si>
  <si>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</si>
  <si>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</si>
  <si>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</si>
  <si>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</si>
  <si>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</si>
  <si>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</si>
  <si>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</si>
  <si>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</si>
  <si>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</si>
  <si>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</si>
  <si>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</si>
  <si>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</si>
  <si>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</si>
  <si>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</si>
  <si>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</si>
  <si>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</si>
  <si>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</si>
  <si>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</si>
  <si>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</si>
  <si>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</si>
  <si>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</si>
  <si>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</si>
  <si>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</si>
  <si>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</si>
  <si>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</si>
  <si>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</si>
  <si>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</si>
  <si>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</si>
  <si>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</si>
  <si>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</si>
  <si>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</si>
  <si>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</si>
  <si>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</si>
  <si>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</si>
  <si>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</si>
  <si>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</si>
  <si>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</si>
  <si>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</si>
  <si>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</si>
  <si>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</si>
  <si>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</si>
  <si>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</si>
  <si>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</si>
  <si>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</si>
  <si>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</si>
  <si>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</si>
  <si>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</si>
  <si>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</si>
  <si>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</si>
  <si>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</si>
  <si>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</si>
  <si>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</si>
  <si>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</si>
  <si>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</si>
  <si>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</si>
  <si>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</si>
  <si>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</si>
  <si>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</si>
  <si>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</si>
  <si>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</si>
  <si>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</si>
  <si>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</si>
  <si>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</si>
  <si>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</si>
  <si>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</si>
  <si>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</si>
  <si>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</si>
  <si>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</si>
  <si>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</si>
  <si>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</si>
  <si>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</si>
  <si>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</si>
  <si>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</si>
  <si>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</si>
  <si>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</si>
  <si>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</si>
  <si>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</si>
  <si>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</si>
  <si>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</si>
  <si>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</si>
  <si>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</si>
  <si>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</si>
  <si>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</si>
  <si>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</si>
  <si>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</si>
  <si>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</si>
  <si>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</si>
  <si>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</si>
  <si>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</si>
  <si>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</si>
  <si>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</si>
  <si>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</si>
  <si>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</si>
  <si>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</si>
  <si>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</si>
  <si>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</si>
  <si>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</si>
  <si>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</si>
  <si>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</si>
  <si>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</si>
  <si>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</si>
  <si>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</si>
  <si>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</si>
  <si>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</si>
  <si>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</si>
  <si>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</si>
  <si>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</si>
  <si>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</si>
  <si>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</si>
  <si>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</si>
  <si>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</si>
  <si>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</si>
  <si>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</si>
  <si>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</si>
  <si>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</si>
  <si>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</si>
  <si>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</si>
  <si>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</si>
  <si>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</si>
  <si>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</si>
  <si>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</si>
  <si>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</si>
  <si>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</si>
  <si>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</si>
  <si>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</si>
  <si>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</si>
  <si>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</si>
  <si>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</si>
  <si>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</si>
  <si>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</si>
  <si>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</si>
  <si>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</si>
  <si>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</si>
  <si>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</si>
  <si>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</si>
  <si>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</si>
  <si>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</si>
  <si>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</si>
  <si>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</si>
  <si>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</si>
  <si>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</si>
  <si>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</si>
  <si>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</si>
  <si>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</si>
  <si>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</si>
  <si>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</si>
  <si>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</si>
  <si>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</si>
  <si>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</si>
  <si>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</si>
  <si>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</si>
  <si>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</si>
  <si>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</si>
  <si>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</si>
  <si>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</si>
  <si>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</si>
  <si>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</si>
  <si>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</si>
  <si>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</si>
  <si>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</si>
  <si>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</si>
  <si>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</si>
  <si>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</si>
  <si>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</si>
  <si>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</si>
  <si>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</si>
  <si>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</si>
  <si>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</si>
  <si>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</si>
  <si>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</si>
  <si>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</si>
  <si>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</si>
  <si>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</si>
  <si>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</si>
  <si>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</si>
  <si>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</si>
  <si>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</si>
  <si>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</si>
  <si>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</si>
  <si>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</si>
  <si>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</si>
  <si>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</si>
  <si>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</si>
  <si>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</si>
  <si>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</si>
  <si>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</si>
  <si>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</si>
  <si>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</si>
  <si>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</si>
  <si>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</si>
  <si>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</si>
  <si>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</si>
  <si>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</si>
  <si>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</si>
  <si>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</si>
  <si>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</si>
  <si>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</si>
  <si>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</si>
  <si>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</si>
  <si>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</si>
  <si>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</si>
  <si>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</si>
  <si>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</si>
  <si>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</si>
  <si>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</si>
  <si>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</si>
  <si>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</si>
  <si>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</si>
  <si>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</si>
  <si>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</si>
  <si>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</si>
  <si>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</si>
  <si>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</si>
  <si>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</si>
  <si>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</si>
  <si>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</si>
  <si>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</si>
  <si>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</si>
  <si>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</si>
  <si>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</si>
  <si>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</si>
  <si>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</si>
  <si>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</si>
  <si>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</si>
  <si>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</si>
  <si>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</si>
  <si>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</si>
  <si>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</si>
  <si>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</si>
  <si>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</si>
  <si>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</si>
  <si>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</si>
  <si>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</si>
  <si>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</si>
  <si>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</si>
  <si>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</si>
  <si>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</si>
  <si>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</si>
  <si>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</si>
  <si>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</si>
  <si>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</si>
  <si>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</si>
  <si>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</si>
  <si>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</si>
  <si>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</si>
  <si>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</si>
  <si>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</si>
  <si>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</si>
  <si>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</si>
  <si>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</si>
  <si>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</si>
  <si>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</si>
  <si>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</si>
  <si>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</si>
  <si>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</si>
  <si>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</si>
  <si>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</si>
  <si>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</si>
  <si>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</si>
  <si>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</si>
  <si>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</si>
  <si>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</si>
  <si>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</si>
  <si>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</si>
  <si>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</si>
  <si>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</si>
  <si>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</si>
  <si>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</si>
  <si>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</si>
  <si>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</si>
  <si>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</si>
  <si>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</si>
  <si>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</si>
  <si>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</si>
  <si>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</si>
  <si>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</si>
  <si>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</si>
  <si>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</si>
  <si>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</si>
  <si>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</si>
  <si>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</si>
  <si>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</si>
  <si>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</si>
  <si>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</si>
  <si>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</si>
  <si>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</si>
  <si>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</si>
  <si>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</si>
  <si>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</si>
  <si>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</si>
  <si>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</si>
  <si>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</si>
  <si>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</si>
  <si>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</si>
  <si>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</si>
  <si>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</si>
  <si>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</si>
  <si>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</si>
  <si>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</si>
  <si>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</si>
  <si>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</si>
  <si>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</si>
  <si>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</si>
  <si>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</si>
  <si>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</si>
  <si>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</si>
  <si>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</si>
  <si>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</si>
  <si>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</si>
  <si>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</si>
  <si>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</si>
  <si>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</si>
  <si>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</si>
  <si>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</si>
  <si>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</si>
  <si>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</si>
  <si>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</si>
  <si>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</si>
  <si>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</si>
  <si>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</si>
  <si>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</si>
  <si>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</si>
  <si>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</si>
  <si>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</si>
  <si>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</si>
  <si>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</si>
  <si>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</si>
  <si>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</si>
  <si>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</si>
  <si>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</si>
  <si>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</si>
  <si>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</si>
  <si>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</si>
  <si>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</si>
  <si>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</si>
  <si>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</si>
  <si>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</si>
  <si>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</si>
  <si>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</si>
  <si>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</si>
  <si>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</si>
  <si>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</si>
  <si>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</si>
  <si>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</si>
  <si>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</si>
  <si>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</si>
  <si>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</si>
  <si>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</si>
  <si>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</si>
  <si>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</si>
  <si>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</si>
  <si>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</si>
  <si>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</si>
  <si>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</si>
  <si>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</si>
  <si>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</si>
  <si>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</si>
  <si>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</si>
  <si>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</si>
  <si>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</si>
  <si>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</si>
  <si>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</si>
  <si>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</si>
  <si>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</si>
  <si>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</si>
  <si>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</si>
  <si>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</si>
  <si>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</si>
  <si>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</si>
  <si>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</si>
  <si>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</si>
  <si>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</si>
  <si>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</si>
  <si>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</si>
  <si>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</si>
  <si>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</si>
  <si>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</si>
  <si>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</si>
  <si>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</si>
  <si>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</si>
  <si>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</si>
  <si>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</si>
  <si>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</si>
  <si>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</si>
  <si>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</si>
  <si>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</si>
  <si>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</si>
  <si>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</si>
  <si>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</si>
  <si>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</si>
  <si>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</si>
  <si>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</si>
  <si>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</si>
  <si>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</si>
  <si>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</si>
  <si>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</si>
  <si>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</si>
  <si>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</si>
  <si>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</si>
  <si>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</si>
  <si>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</si>
  <si>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</si>
  <si>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</si>
  <si>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</si>
  <si>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</si>
  <si>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</si>
  <si>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</si>
  <si>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</si>
  <si>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</si>
  <si>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</si>
  <si>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</si>
  <si>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</si>
  <si>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</si>
  <si>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</si>
  <si>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</si>
  <si>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</si>
  <si>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</si>
  <si>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</si>
  <si>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</si>
  <si>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</si>
  <si>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</si>
  <si>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</si>
  <si>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</si>
  <si>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</si>
  <si>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</si>
  <si>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</si>
  <si>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</si>
  <si>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</si>
  <si>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</si>
  <si>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</si>
  <si>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</si>
  <si>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</si>
  <si>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</si>
  <si>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</si>
  <si>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</si>
  <si>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</si>
  <si>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</si>
  <si>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</si>
  <si>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</si>
  <si>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</si>
  <si>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</si>
  <si>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</si>
  <si>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</si>
  <si>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</si>
  <si>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</si>
  <si>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</si>
  <si>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</si>
  <si>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</si>
  <si>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</si>
  <si>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</si>
  <si>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</si>
  <si>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</si>
  <si>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</si>
  <si>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</si>
  <si>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</si>
  <si>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</si>
  <si>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</si>
  <si>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</si>
  <si>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</si>
  <si>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</si>
  <si>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</si>
  <si>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</si>
  <si>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</si>
  <si>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</si>
  <si>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</si>
  <si>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</si>
  <si>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</si>
  <si>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</si>
  <si>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</si>
  <si>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</si>
  <si>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</si>
  <si>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</si>
  <si>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</si>
  <si>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</si>
  <si>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</si>
  <si>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</si>
  <si>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</si>
  <si>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</si>
  <si>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</si>
  <si>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</si>
  <si>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</si>
  <si>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</si>
  <si>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</si>
  <si>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</si>
  <si>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</si>
  <si>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</si>
  <si>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</si>
  <si>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</si>
  <si>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</si>
  <si>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</si>
  <si>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</si>
  <si>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</si>
  <si>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</si>
  <si>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</si>
  <si>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</si>
  <si>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</si>
  <si>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</si>
  <si>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</si>
  <si>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</si>
  <si>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</si>
  <si>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</si>
  <si>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</si>
  <si>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</si>
  <si>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</si>
  <si>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</si>
  <si>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</si>
  <si>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</si>
  <si>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</si>
  <si>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</si>
  <si>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</si>
  <si>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</si>
  <si>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</si>
  <si>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</si>
  <si>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</si>
  <si>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</si>
  <si>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</si>
  <si>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</si>
  <si>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</si>
  <si>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</si>
  <si>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</si>
  <si>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</si>
  <si>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</si>
  <si>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</si>
  <si>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</si>
  <si>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</si>
  <si>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</si>
  <si>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</si>
  <si>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</si>
  <si>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</si>
  <si>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</si>
  <si>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</si>
  <si>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</si>
  <si>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</si>
  <si>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</si>
  <si>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</si>
  <si>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</si>
  <si>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</si>
  <si>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</si>
  <si>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</si>
  <si>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</si>
  <si>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</si>
  <si>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</si>
  <si>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</si>
  <si>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</si>
  <si>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</si>
  <si>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</si>
  <si>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</si>
  <si>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</si>
  <si>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</si>
  <si>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</si>
  <si>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</si>
  <si>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</si>
  <si>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</si>
  <si>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</si>
  <si>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</si>
  <si>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</si>
  <si>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</si>
  <si>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</si>
  <si>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</si>
  <si>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</si>
  <si>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</si>
  <si>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</si>
  <si>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</si>
  <si>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</si>
  <si>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</si>
  <si>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</si>
  <si>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</si>
  <si>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</si>
  <si>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</si>
  <si>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</si>
  <si>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</si>
  <si>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</si>
  <si>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</si>
  <si>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</si>
  <si>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</si>
  <si>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</si>
  <si>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</si>
  <si>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</si>
  <si>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</si>
  <si>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</si>
  <si>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</si>
  <si>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</si>
  <si>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</si>
  <si>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</si>
  <si>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</si>
  <si>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</si>
  <si>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</si>
  <si>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</si>
  <si>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</si>
  <si>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</si>
  <si>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</si>
  <si>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</si>
  <si>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</si>
  <si>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</si>
  <si>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</si>
  <si>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</si>
  <si>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</si>
  <si>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</si>
  <si>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</si>
  <si>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</si>
  <si>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</si>
  <si>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</si>
  <si>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</si>
  <si>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</si>
  <si>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</si>
  <si>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</si>
  <si>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</si>
  <si>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</si>
  <si>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</si>
  <si>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</si>
  <si>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</si>
  <si>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</si>
  <si>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</si>
  <si>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</si>
  <si>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</si>
  <si>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</si>
  <si>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</si>
  <si>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</si>
  <si>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</si>
  <si>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</si>
  <si>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</si>
  <si>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</si>
  <si>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</si>
  <si>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</si>
  <si>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</si>
  <si>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</si>
  <si>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</si>
  <si>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</si>
  <si>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</si>
  <si>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</si>
  <si>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</si>
  <si>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</si>
  <si>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</si>
  <si>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</si>
  <si>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</si>
  <si>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</si>
  <si>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</si>
  <si>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</si>
  <si>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</si>
  <si>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</si>
  <si>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</si>
  <si>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</si>
  <si>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</si>
  <si>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</si>
  <si>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</si>
  <si>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</si>
  <si>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</si>
  <si>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</si>
  <si>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</si>
  <si>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</si>
  <si>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</si>
  <si>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</si>
  <si>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</si>
  <si>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</si>
  <si>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</si>
  <si>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</si>
  <si>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</si>
  <si>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</si>
  <si>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</si>
  <si>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</si>
  <si>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</si>
  <si>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</si>
  <si>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</si>
  <si>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</si>
  <si>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</si>
  <si>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</si>
  <si>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</si>
  <si>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</si>
  <si>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</si>
  <si>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</si>
  <si>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</si>
  <si>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</si>
  <si>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</si>
  <si>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</si>
  <si>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</si>
  <si>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</si>
  <si>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</si>
  <si>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</si>
  <si>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</si>
  <si>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</si>
  <si>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</si>
  <si>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</si>
  <si>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</si>
  <si>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</si>
  <si>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</si>
  <si>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</si>
  <si>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</si>
  <si>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</si>
  <si>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</si>
  <si>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</si>
  <si>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</si>
  <si>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</si>
  <si>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</si>
  <si>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</si>
  <si>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</si>
  <si>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</si>
  <si>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</si>
  <si>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</si>
  <si>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</si>
  <si>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</si>
  <si>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</si>
  <si>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</si>
  <si>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</si>
  <si>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</si>
  <si>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</si>
  <si>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</si>
  <si>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</si>
  <si>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</si>
  <si>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</si>
  <si>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</si>
  <si>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</si>
  <si>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</si>
  <si>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</si>
  <si>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</si>
  <si>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</si>
  <si>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</si>
  <si>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</si>
  <si>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</si>
  <si>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</si>
  <si>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</si>
  <si>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</si>
  <si>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</si>
  <si>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</si>
  <si>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</si>
  <si>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</si>
  <si>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</si>
  <si>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</si>
  <si>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</si>
  <si>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</si>
  <si>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</si>
  <si>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</si>
  <si>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</si>
  <si>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</si>
  <si>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</si>
  <si>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</si>
  <si>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</si>
  <si>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</si>
  <si>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</si>
  <si>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</si>
  <si>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</si>
  <si>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</si>
  <si>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</si>
  <si>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</si>
  <si>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</si>
  <si>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</si>
  <si>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</si>
  <si>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</si>
  <si>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</si>
  <si>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</si>
  <si>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</si>
  <si>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</si>
  <si>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</si>
  <si>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</si>
  <si>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</si>
  <si>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</si>
  <si>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</si>
  <si>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</si>
  <si>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</si>
  <si>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</si>
  <si>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</si>
  <si>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</si>
  <si>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</si>
  <si>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</si>
  <si>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</si>
  <si>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</si>
  <si>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</si>
  <si>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</si>
  <si>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</si>
  <si>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</si>
  <si>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</si>
  <si>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</si>
  <si>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</si>
  <si>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</si>
  <si>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</si>
  <si>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</si>
  <si>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</si>
  <si>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</si>
  <si>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</si>
  <si>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</si>
  <si>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</si>
  <si>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</si>
  <si>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</si>
  <si>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</si>
  <si>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</si>
  <si>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</si>
  <si>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</si>
  <si>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</si>
  <si>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</si>
  <si>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350.b</t>
  </si>
  <si>
    <t>Lease</t>
  </si>
  <si>
    <t>Wygen 2 Ground Lease (Production)</t>
  </si>
  <si>
    <t>Harriman Communication tower lease (Distribution)</t>
  </si>
  <si>
    <t>Horse Creek Site Trunking System Repeater Radio (Distribution)</t>
  </si>
  <si>
    <t xml:space="preserve">Branding </t>
  </si>
  <si>
    <t>Advertising and Promo</t>
  </si>
  <si>
    <t>BHBE System</t>
  </si>
  <si>
    <t>ARH Commodity</t>
  </si>
  <si>
    <t>Actuals - For the 12 months ended 12/31/2022</t>
  </si>
  <si>
    <t>(Sum of Lines 12-15)</t>
  </si>
  <si>
    <t>NF</t>
  </si>
  <si>
    <t>OS</t>
  </si>
  <si>
    <t>Inventory</t>
  </si>
  <si>
    <t>Maintenance</t>
  </si>
  <si>
    <t>Inventory - CPGS prepayment</t>
  </si>
  <si>
    <t>Maintenance - CPGS prepayment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</si>
</sst>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5"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1"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38">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6" borderId="0" xfId="4598" applyNumberFormat="1" applyFont="1" applyFill="1"/>
    <xf numFmtId="43" fontId="29" fillId="0" borderId="14" xfId="190" applyFont="1" applyBorder="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4"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4"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174" fontId="29" fillId="0" borderId="0" xfId="190" applyNumberFormat="1" applyFont="1" applyFill="1" applyBorder="1" applyAlignment="1" applyProtection="1">
      <alignment wrapText="1"/>
    </xf>
    <xf numFmtId="173" fontId="29" fillId="0" borderId="0" xfId="4476" applyNumberFormat="1" applyFont="1"/>
    <xf numFmtId="0" fontId="176" fillId="0" borderId="0" xfId="4476" applyFont="1" applyAlignment="1">
      <alignment horizontal="center"/>
    </xf>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7" borderId="0" xfId="1" applyNumberFormat="1" applyFont="1" applyFill="1" applyAlignment="1" applyProtection="1">
      <protection locked="0"/>
    </xf>
    <xf numFmtId="41" fontId="29" fillId="77"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7" fillId="0" borderId="0" xfId="0" applyFont="1"/>
    <xf numFmtId="172" fontId="179" fillId="0" borderId="51" xfId="0" applyFont="1" applyBorder="1"/>
    <xf numFmtId="172" fontId="177" fillId="0" borderId="37" xfId="0" applyFont="1" applyBorder="1"/>
    <xf numFmtId="172" fontId="177" fillId="0" borderId="38" xfId="0" applyFont="1" applyBorder="1"/>
    <xf numFmtId="10" fontId="177" fillId="0" borderId="0" xfId="4352" applyNumberFormat="1" applyFont="1" applyBorder="1" applyAlignment="1"/>
    <xf numFmtId="172" fontId="178" fillId="0" borderId="53" xfId="0" applyFont="1" applyBorder="1" applyAlignment="1">
      <alignment horizontal="center"/>
    </xf>
    <xf numFmtId="172" fontId="178" fillId="0" borderId="3" xfId="0" applyFont="1" applyBorder="1" applyAlignment="1">
      <alignment horizontal="center"/>
    </xf>
    <xf numFmtId="172" fontId="177" fillId="0" borderId="3" xfId="0" applyFont="1" applyBorder="1" applyAlignment="1">
      <alignment horizontal="center"/>
    </xf>
    <xf numFmtId="172" fontId="177" fillId="0" borderId="37" xfId="0" applyFont="1" applyBorder="1" applyAlignment="1">
      <alignment horizontal="center"/>
    </xf>
    <xf numFmtId="172" fontId="177" fillId="0" borderId="0" xfId="0" applyFont="1" applyAlignment="1">
      <alignment horizontal="center"/>
    </xf>
    <xf numFmtId="172" fontId="177" fillId="0" borderId="38" xfId="0" applyFont="1" applyBorder="1" applyAlignment="1">
      <alignment horizontal="center"/>
    </xf>
    <xf numFmtId="42" fontId="177" fillId="0" borderId="0" xfId="0" applyNumberFormat="1" applyFont="1"/>
    <xf numFmtId="42" fontId="177" fillId="0" borderId="0" xfId="1" applyNumberFormat="1" applyFont="1" applyBorder="1" applyAlignment="1"/>
    <xf numFmtId="42" fontId="177" fillId="0" borderId="38" xfId="1" applyNumberFormat="1" applyFont="1" applyBorder="1" applyAlignment="1"/>
    <xf numFmtId="174" fontId="177" fillId="0" borderId="52" xfId="190" applyNumberFormat="1" applyFont="1" applyBorder="1" applyAlignment="1"/>
    <xf numFmtId="174" fontId="177" fillId="0" borderId="3" xfId="190" applyNumberFormat="1" applyFont="1" applyBorder="1" applyAlignment="1"/>
    <xf numFmtId="44" fontId="177" fillId="0" borderId="52" xfId="1" applyFont="1" applyBorder="1" applyAlignment="1">
      <alignment horizontal="right"/>
    </xf>
    <xf numFmtId="173" fontId="177" fillId="0" borderId="3" xfId="1" applyNumberFormat="1" applyFont="1" applyBorder="1" applyAlignment="1"/>
    <xf numFmtId="173" fontId="177" fillId="0" borderId="53" xfId="1" applyNumberFormat="1" applyFont="1" applyBorder="1" applyAlignment="1"/>
    <xf numFmtId="174" fontId="177" fillId="0" borderId="0" xfId="190" applyNumberFormat="1" applyFont="1" applyBorder="1" applyAlignment="1"/>
    <xf numFmtId="44" fontId="177" fillId="0" borderId="0" xfId="1" applyFont="1" applyBorder="1" applyAlignment="1">
      <alignment horizontal="right"/>
    </xf>
    <xf numFmtId="173" fontId="177" fillId="0" borderId="0" xfId="1" applyNumberFormat="1" applyFont="1" applyBorder="1" applyAlignment="1"/>
    <xf numFmtId="172" fontId="177" fillId="3" borderId="4" xfId="0" applyFont="1" applyFill="1" applyBorder="1"/>
    <xf numFmtId="172" fontId="177" fillId="3" borderId="0" xfId="0" applyFont="1" applyFill="1" applyAlignment="1">
      <alignment horizontal="center"/>
    </xf>
    <xf numFmtId="10" fontId="177" fillId="3" borderId="0" xfId="4352" applyNumberFormat="1" applyFont="1" applyFill="1" applyBorder="1" applyAlignment="1"/>
    <xf numFmtId="172" fontId="177" fillId="3" borderId="4" xfId="0" applyFont="1" applyFill="1" applyBorder="1" applyAlignment="1">
      <alignment wrapText="1"/>
    </xf>
    <xf numFmtId="0" fontId="177" fillId="3" borderId="0" xfId="4352" quotePrefix="1" applyNumberFormat="1" applyFont="1" applyFill="1" applyBorder="1" applyAlignment="1">
      <alignment horizontal="right"/>
    </xf>
    <xf numFmtId="42" fontId="177" fillId="3" borderId="37" xfId="1" applyNumberFormat="1" applyFont="1" applyFill="1" applyBorder="1" applyAlignment="1">
      <alignment horizontal="right"/>
    </xf>
    <xf numFmtId="42" fontId="177" fillId="3" borderId="0" xfId="1" applyNumberFormat="1" applyFont="1" applyFill="1" applyBorder="1" applyAlignment="1"/>
    <xf numFmtId="172" fontId="178"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7" fillId="0" borderId="0" xfId="0" applyNumberFormat="1" applyFont="1" applyAlignment="1">
      <alignment horizontal="center"/>
    </xf>
    <xf numFmtId="172" fontId="177" fillId="0" borderId="0" xfId="0" applyFont="1" applyAlignment="1">
      <alignment horizontal="left"/>
    </xf>
    <xf numFmtId="172" fontId="180" fillId="0" borderId="0" xfId="0" applyFont="1" applyAlignment="1">
      <alignment horizontal="center"/>
    </xf>
    <xf numFmtId="0" fontId="177"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7"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78" fillId="0" borderId="0" xfId="0" applyFont="1" applyAlignment="1">
      <alignment horizontal="left"/>
    </xf>
    <xf numFmtId="42" fontId="177" fillId="78" borderId="0" xfId="0" applyNumberFormat="1" applyFont="1" applyFill="1"/>
    <xf numFmtId="172" fontId="178" fillId="0" borderId="37" xfId="0" applyFont="1" applyBorder="1" applyAlignment="1">
      <alignment horizontal="center"/>
    </xf>
    <xf numFmtId="172" fontId="178" fillId="0" borderId="52" xfId="0" applyFont="1" applyBorder="1" applyAlignment="1">
      <alignment horizontal="center"/>
    </xf>
    <xf numFmtId="42" fontId="37" fillId="0" borderId="37" xfId="4667" applyNumberFormat="1" applyFont="1" applyBorder="1" applyAlignment="1"/>
    <xf numFmtId="174" fontId="177" fillId="0" borderId="37" xfId="190" applyNumberFormat="1" applyFont="1" applyBorder="1" applyAlignment="1"/>
    <xf numFmtId="172" fontId="177" fillId="3" borderId="47" xfId="0" applyFont="1" applyFill="1" applyBorder="1"/>
    <xf numFmtId="172" fontId="178" fillId="0" borderId="38" xfId="0" applyFont="1" applyBorder="1" applyAlignment="1">
      <alignment horizontal="center"/>
    </xf>
    <xf numFmtId="174" fontId="177" fillId="0" borderId="38" xfId="190" applyNumberFormat="1" applyFont="1" applyBorder="1" applyAlignment="1"/>
    <xf numFmtId="174" fontId="177" fillId="0" borderId="53" xfId="190" applyNumberFormat="1" applyFont="1" applyBorder="1" applyAlignment="1"/>
    <xf numFmtId="44" fontId="177" fillId="0" borderId="37" xfId="1" applyFont="1" applyBorder="1" applyAlignment="1">
      <alignment horizontal="right"/>
    </xf>
    <xf numFmtId="173" fontId="177" fillId="0" borderId="38" xfId="1" applyNumberFormat="1" applyFont="1" applyBorder="1" applyAlignment="1"/>
    <xf numFmtId="172" fontId="177"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2"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2"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8"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3"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4" borderId="14" xfId="4665" applyNumberFormat="1" applyFont="1" applyFill="1" applyBorder="1" applyAlignment="1"/>
    <xf numFmtId="0" fontId="185" fillId="0" borderId="0" xfId="4671" applyFont="1" applyAlignment="1">
      <alignment horizontal="center"/>
    </xf>
    <xf numFmtId="0" fontId="182" fillId="0" borderId="0" xfId="4671" applyFont="1" applyAlignment="1">
      <alignment horizontal="center"/>
    </xf>
    <xf numFmtId="37" fontId="182"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6"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37" fontId="29" fillId="0" borderId="0" xfId="0" applyNumberFormat="1" applyFont="1"/>
    <xf numFmtId="172" fontId="182"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89" fillId="0" borderId="0" xfId="4667" applyNumberFormat="1" applyFont="1" applyAlignment="1">
      <alignment horizontal="center"/>
    </xf>
    <xf numFmtId="172" fontId="187"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5"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88"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7"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88"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0"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6" fillId="0" borderId="0" xfId="190" applyFont="1" applyBorder="1" applyAlignment="1">
      <alignment horizontal="right" vertical="center" wrapText="1"/>
    </xf>
    <xf numFmtId="43" fontId="176" fillId="0" borderId="0" xfId="190" applyFont="1" applyBorder="1" applyAlignment="1">
      <alignment vertical="center" wrapText="1"/>
    </xf>
    <xf numFmtId="174" fontId="176" fillId="0" borderId="0" xfId="190" applyNumberFormat="1" applyFont="1"/>
    <xf numFmtId="174" fontId="29" fillId="0" borderId="0" xfId="190" applyNumberFormat="1" applyFont="1" applyFill="1" applyAlignment="1">
      <alignment horizontal="center"/>
    </xf>
    <xf numFmtId="249" fontId="176" fillId="0" borderId="0" xfId="190" applyNumberFormat="1" applyFont="1"/>
    <xf numFmtId="249" fontId="176"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6"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74" fontId="176" fillId="0" borderId="0" xfId="4665" applyNumberFormat="1" applyFont="1" applyBorder="1" applyAlignment="1">
      <alignment horizontal="center" vertical="center" wrapText="1"/>
    </xf>
    <xf numFmtId="174" fontId="176" fillId="0" borderId="0" xfId="190" applyNumberFormat="1" applyFont="1" applyBorder="1" applyAlignment="1">
      <alignment vertical="center" wrapText="1"/>
    </xf>
    <xf numFmtId="41" fontId="29" fillId="77"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78"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6" fillId="0" borderId="0" xfId="4690" applyFont="1"/>
    <xf numFmtId="0" fontId="176" fillId="0" borderId="0" xfId="4690" applyFont="1" applyAlignment="1">
      <alignment horizontal="right"/>
    </xf>
    <xf numFmtId="0" fontId="176" fillId="0" borderId="0" xfId="4690" applyFont="1" applyAlignment="1">
      <alignment horizontal="center"/>
    </xf>
    <xf numFmtId="0" fontId="192" fillId="0" borderId="0" xfId="4690" applyFont="1"/>
    <xf numFmtId="0" fontId="192" fillId="0" borderId="0" xfId="4690" applyFont="1" applyAlignment="1">
      <alignment vertical="center"/>
    </xf>
    <xf numFmtId="0" fontId="192" fillId="0" borderId="0" xfId="4690" applyFont="1" applyAlignment="1">
      <alignment horizontal="center" vertical="center"/>
    </xf>
    <xf numFmtId="0" fontId="192" fillId="0" borderId="0" xfId="4690" applyFont="1" applyAlignment="1">
      <alignment horizontal="center" vertical="center" wrapText="1"/>
    </xf>
    <xf numFmtId="0" fontId="192" fillId="0" borderId="54" xfId="4690" applyFont="1" applyBorder="1" applyAlignment="1">
      <alignment horizontal="center" vertical="center"/>
    </xf>
    <xf numFmtId="0" fontId="176" fillId="0" borderId="58" xfId="4690" applyFont="1" applyBorder="1" applyAlignment="1">
      <alignment horizontal="center" vertical="center" wrapText="1"/>
    </xf>
    <xf numFmtId="0" fontId="176" fillId="0" borderId="0" xfId="4690" applyFont="1" applyAlignment="1">
      <alignment horizontal="center" vertical="center" wrapText="1"/>
    </xf>
    <xf numFmtId="0" fontId="176" fillId="0" borderId="0" xfId="4690" applyFont="1" applyAlignment="1">
      <alignment horizontal="left" vertical="center"/>
    </xf>
    <xf numFmtId="15" fontId="176" fillId="0" borderId="0" xfId="4690" applyNumberFormat="1" applyFont="1" applyAlignment="1">
      <alignment vertical="center" wrapText="1"/>
    </xf>
    <xf numFmtId="174" fontId="176" fillId="0" borderId="0" xfId="4691" applyNumberFormat="1" applyFont="1" applyBorder="1" applyAlignment="1">
      <alignment horizontal="right" vertical="center" wrapText="1"/>
    </xf>
    <xf numFmtId="174" fontId="176" fillId="0" borderId="0" xfId="4691" applyNumberFormat="1" applyFont="1" applyBorder="1" applyAlignment="1">
      <alignment vertical="center" wrapText="1"/>
    </xf>
    <xf numFmtId="174" fontId="176" fillId="3" borderId="0" xfId="4692" applyNumberFormat="1" applyFont="1" applyFill="1" applyBorder="1" applyAlignment="1">
      <alignment horizontal="right" vertical="center" wrapText="1"/>
    </xf>
    <xf numFmtId="174" fontId="176" fillId="0" borderId="0" xfId="4691" applyNumberFormat="1" applyFont="1" applyFill="1" applyBorder="1" applyAlignment="1">
      <alignment horizontal="center" vertical="center" wrapText="1"/>
    </xf>
    <xf numFmtId="174" fontId="176" fillId="0" borderId="0" xfId="4692" applyNumberFormat="1" applyFont="1" applyBorder="1" applyAlignment="1">
      <alignment vertical="center" wrapText="1"/>
    </xf>
    <xf numFmtId="174" fontId="176" fillId="3" borderId="0" xfId="4692" applyNumberFormat="1" applyFont="1" applyFill="1" applyBorder="1" applyAlignment="1">
      <alignment vertical="center" wrapText="1"/>
    </xf>
    <xf numFmtId="0" fontId="176" fillId="0" borderId="4" xfId="4690" applyFont="1" applyBorder="1" applyAlignment="1">
      <alignment vertical="center" wrapText="1"/>
    </xf>
    <xf numFmtId="0" fontId="176" fillId="0" borderId="4" xfId="4690" applyFont="1" applyBorder="1" applyAlignment="1">
      <alignment horizontal="right" vertical="center" wrapText="1"/>
    </xf>
    <xf numFmtId="174" fontId="176" fillId="0" borderId="4" xfId="4691" applyNumberFormat="1" applyFont="1" applyBorder="1" applyAlignment="1">
      <alignment vertical="center" wrapText="1"/>
    </xf>
    <xf numFmtId="0" fontId="176" fillId="0" borderId="0" xfId="4690" applyFont="1" applyAlignment="1">
      <alignment vertical="center" wrapText="1"/>
    </xf>
    <xf numFmtId="0" fontId="176" fillId="0" borderId="0" xfId="4690" applyFont="1" applyAlignment="1">
      <alignment horizontal="right" vertical="center" wrapText="1"/>
    </xf>
    <xf numFmtId="0" fontId="176" fillId="0" borderId="0" xfId="4690" applyFont="1" applyAlignment="1">
      <alignment horizontal="justify" vertical="center" wrapText="1"/>
    </xf>
    <xf numFmtId="174" fontId="176" fillId="0" borderId="0" xfId="4691" applyNumberFormat="1" applyFont="1" applyFill="1" applyBorder="1" applyAlignment="1">
      <alignment vertical="center" wrapText="1"/>
    </xf>
    <xf numFmtId="174" fontId="176" fillId="0" borderId="4" xfId="4691" applyNumberFormat="1" applyFont="1" applyFill="1" applyBorder="1" applyAlignment="1">
      <alignment vertical="center" wrapText="1"/>
    </xf>
    <xf numFmtId="174" fontId="192" fillId="0" borderId="0" xfId="4690" applyNumberFormat="1" applyFont="1"/>
    <xf numFmtId="0" fontId="193" fillId="0" borderId="0" xfId="4690" applyFont="1" applyAlignment="1">
      <alignment horizontal="center"/>
    </xf>
    <xf numFmtId="174" fontId="192" fillId="0" borderId="0" xfId="4691" applyNumberFormat="1" applyFont="1" applyFill="1" applyBorder="1" applyAlignment="1">
      <alignment horizontal="center" vertical="center" wrapText="1"/>
    </xf>
    <xf numFmtId="0" fontId="192" fillId="0" borderId="0" xfId="4690" applyFont="1" applyAlignment="1">
      <alignment horizontal="center"/>
    </xf>
    <xf numFmtId="0" fontId="176" fillId="0" borderId="0" xfId="4693" applyFont="1"/>
    <xf numFmtId="174" fontId="176" fillId="0" borderId="0" xfId="4693" applyNumberFormat="1" applyFont="1"/>
    <xf numFmtId="174" fontId="176" fillId="0" borderId="0" xfId="4692" applyNumberFormat="1" applyFont="1" applyBorder="1" applyAlignment="1">
      <alignment horizontal="right" vertical="center" wrapText="1"/>
    </xf>
    <xf numFmtId="174" fontId="176" fillId="0" borderId="0" xfId="4690" applyNumberFormat="1" applyFont="1" applyAlignment="1">
      <alignment horizontal="center"/>
    </xf>
    <xf numFmtId="43" fontId="176" fillId="0" borderId="0" xfId="4690" applyNumberFormat="1" applyFont="1"/>
    <xf numFmtId="174" fontId="176" fillId="0" borderId="0" xfId="4692" applyNumberFormat="1" applyFont="1" applyFill="1" applyBorder="1" applyAlignment="1">
      <alignment vertical="center" wrapText="1"/>
    </xf>
    <xf numFmtId="174" fontId="176" fillId="0" borderId="0" xfId="4690" applyNumberFormat="1" applyFont="1"/>
    <xf numFmtId="0" fontId="191" fillId="0" borderId="0" xfId="4690" applyFont="1"/>
    <xf numFmtId="174" fontId="176"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6" fillId="0" borderId="0" xfId="4690" applyNumberFormat="1" applyFont="1"/>
    <xf numFmtId="174" fontId="176" fillId="0" borderId="0" xfId="4665" applyNumberFormat="1" applyFont="1"/>
    <xf numFmtId="174" fontId="176" fillId="0" borderId="0" xfId="4690" applyNumberFormat="1" applyFont="1" applyAlignment="1">
      <alignment horizontal="justify" vertical="center" wrapText="1"/>
    </xf>
    <xf numFmtId="165" fontId="29" fillId="3" borderId="0" xfId="0" applyNumberFormat="1" applyFont="1" applyFill="1" applyProtection="1"/>
    <xf numFmtId="164" fontId="176" fillId="0" borderId="0" xfId="4666" applyNumberFormat="1" applyFont="1" applyFill="1"/>
    <xf numFmtId="174" fontId="192"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0" borderId="0" xfId="0" applyNumberFormat="1" applyFont="1" applyFill="1" applyProtection="1">
      <protection locked="0"/>
    </xf>
    <xf numFmtId="173" fontId="164" fillId="80" borderId="0" xfId="1" applyNumberFormat="1" applyFont="1" applyFill="1" applyAlignment="1" applyProtection="1">
      <protection locked="0"/>
    </xf>
    <xf numFmtId="0" fontId="164" fillId="80" borderId="0" xfId="4" applyFont="1" applyFill="1"/>
    <xf numFmtId="173" fontId="29" fillId="0" borderId="4" xfId="1" applyNumberFormat="1" applyFont="1" applyBorder="1"/>
    <xf numFmtId="173" fontId="29" fillId="0" borderId="17" xfId="1" applyNumberFormat="1" applyFont="1" applyBorder="1"/>
    <xf numFmtId="14" fontId="164" fillId="80" borderId="0" xfId="0" applyNumberFormat="1" applyFont="1" applyFill="1" applyAlignment="1" applyProtection="1">
      <alignment horizontal="center"/>
      <protection locked="0"/>
    </xf>
    <xf numFmtId="174" fontId="164" fillId="80"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7" fillId="0" borderId="3" xfId="0" applyFont="1" applyBorder="1" applyAlignment="1">
      <alignment horizontal="center" wrapText="1"/>
    </xf>
    <xf numFmtId="42" fontId="177" fillId="0" borderId="0" xfId="1" applyNumberFormat="1" applyFont="1" applyFill="1" applyBorder="1" applyAlignment="1"/>
    <xf numFmtId="271" fontId="164" fillId="3" borderId="0" xfId="190" applyNumberFormat="1" applyFont="1" applyFill="1" applyAlignment="1"/>
    <xf numFmtId="0" fontId="176" fillId="81" borderId="0" xfId="4690" applyFont="1" applyFill="1"/>
    <xf numFmtId="172" fontId="121" fillId="0" borderId="17" xfId="0" applyFont="1" applyBorder="1" applyAlignment="1">
      <alignment horizontal="center"/>
    </xf>
    <xf numFmtId="174" fontId="29" fillId="74"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79" borderId="38" xfId="4667" applyNumberFormat="1" applyFont="1" applyFill="1" applyBorder="1" applyAlignment="1"/>
    <xf numFmtId="172" fontId="29" fillId="79"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79"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7" fillId="0" borderId="0" xfId="0" applyFont="1" applyAlignment="1">
      <alignment horizontal="center" wrapText="1"/>
    </xf>
    <xf numFmtId="172" fontId="177" fillId="0" borderId="38" xfId="0" applyFont="1" applyBorder="1" applyAlignment="1">
      <alignment horizontal="center" wrapText="1"/>
    </xf>
    <xf numFmtId="172" fontId="177"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7" fillId="0" borderId="37" xfId="190" applyNumberFormat="1" applyFont="1" applyFill="1" applyBorder="1" applyAlignment="1"/>
    <xf numFmtId="174" fontId="177" fillId="0" borderId="0" xfId="190" applyNumberFormat="1" applyFont="1" applyFill="1" applyBorder="1" applyAlignment="1"/>
    <xf numFmtId="44" fontId="177" fillId="0" borderId="37" xfId="1" applyFont="1" applyFill="1" applyBorder="1" applyAlignment="1">
      <alignment horizontal="right"/>
    </xf>
    <xf numFmtId="174" fontId="177" fillId="0" borderId="38" xfId="190" applyNumberFormat="1" applyFont="1" applyFill="1" applyBorder="1" applyAlignment="1"/>
    <xf numFmtId="305" fontId="176" fillId="0" borderId="0" xfId="4665" applyNumberFormat="1" applyFont="1" applyFill="1" applyBorder="1" applyAlignment="1">
      <alignment horizontal="center" vertical="center" wrapText="1"/>
    </xf>
    <xf numFmtId="174" fontId="176"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6" fillId="3" borderId="0" xfId="4680" applyFont="1" applyFill="1" applyAlignment="1">
      <alignment horizontal="center"/>
    </xf>
    <xf numFmtId="174" fontId="176" fillId="3" borderId="0" xfId="4684" applyNumberFormat="1" applyFont="1" applyFill="1" applyAlignment="1">
      <alignment horizontal="right" vertical="center" wrapText="1"/>
    </xf>
    <xf numFmtId="173" fontId="164" fillId="3" borderId="0" xfId="1" applyNumberFormat="1" applyFont="1" applyFill="1"/>
    <xf numFmtId="192" fontId="184" fillId="3" borderId="0" xfId="0" applyNumberFormat="1" applyFont="1" applyFill="1" applyAlignment="1">
      <alignment horizontal="center"/>
    </xf>
    <xf numFmtId="0" fontId="29" fillId="0" borderId="4" xfId="4671" applyFont="1" applyBorder="1" applyAlignment="1">
      <alignment horizontal="left"/>
    </xf>
    <xf numFmtId="164" fontId="194" fillId="0" borderId="0" xfId="4597" applyNumberFormat="1" applyFont="1" applyAlignment="1">
      <alignment horizontal="left"/>
    </xf>
    <xf numFmtId="43" fontId="164" fillId="2" borderId="0" xfId="4665" applyFont="1" applyFill="1" applyAlignment="1" applyProtection="1">
      <protection locked="0"/>
    </xf>
    <xf numFmtId="43" fontId="29" fillId="2" borderId="0" xfId="4665" applyFont="1" applyFill="1"/>
    <xf numFmtId="0" fontId="164" fillId="0" borderId="0" xfId="4" applyFo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Alignment="1">
      <alignment horizontal="left" vertical="top" wrapText="1"/>
    </xf>
    <xf numFmtId="0" fontId="29" fillId="0" borderId="0" xfId="0" applyNumberFormat="1" applyFont="1" applyAlignment="1" applyProtection="1">
      <alignment horizontal="left" vertical="top" wrapText="1"/>
      <protection locked="0"/>
    </xf>
    <xf numFmtId="0" fontId="29" fillId="0" borderId="0" xfId="0" applyNumberFormat="1" applyFont="1" applyAlignment="1" applyProtection="1">
      <alignment vertical="top" wrapText="1"/>
      <protection locked="0"/>
    </xf>
    <xf numFmtId="172" fontId="29" fillId="0" borderId="0" xfId="0"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4597" applyNumberFormat="1" applyFont="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Alignment="1" applyProtection="1">
      <alignment horizontal="right"/>
    </xf>
    <xf numFmtId="0" fontId="29" fillId="0" borderId="0" xfId="0" applyNumberFormat="1" applyFont="1" applyProtection="1">
      <protection locked="0"/>
    </xf>
    <xf numFmtId="3"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29" fillId="0" borderId="0" xfId="0" applyFont="1" applyAlignment="1">
      <alignment horizontal="left" wrapText="1"/>
    </xf>
    <xf numFmtId="0" fontId="29" fillId="0" borderId="0" xfId="4664" applyNumberFormat="1" applyFont="1" applyAlignment="1">
      <alignment horizontal="left" vertical="top" wrapText="1"/>
    </xf>
    <xf numFmtId="172" fontId="29" fillId="0" borderId="0" xfId="0" applyFont="1" applyAlignment="1">
      <alignment horizontal="left"/>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29" fillId="0" borderId="0" xfId="0" applyFont="1" applyAlignment="1">
      <alignment horizontal="left" vertical="center"/>
    </xf>
    <xf numFmtId="0" fontId="29" fillId="0" borderId="0" xfId="4228" applyFont="1" applyAlignment="1">
      <alignment horizontal="left" vertical="top" wrapText="1"/>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 applyFont="1" applyAlignment="1">
      <alignment horizontal="left" vertical="top" wrapText="1"/>
    </xf>
    <xf numFmtId="172" fontId="177" fillId="0" borderId="0" xfId="0" applyFont="1" applyAlignment="1">
      <alignment horizontal="left"/>
    </xf>
    <xf numFmtId="172" fontId="178"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0" fontId="29" fillId="0" borderId="0" xfId="4476" applyFont="1" applyAlignment="1">
      <alignment horizontal="left" vertical="top" wrapText="1"/>
    </xf>
    <xf numFmtId="0" fontId="29" fillId="0" borderId="0" xfId="4476" applyFont="1" applyAlignment="1">
      <alignment horizontal="left" vertical="top"/>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0" fontId="29" fillId="0" borderId="0" xfId="0" applyNumberFormat="1" applyFont="1" applyAlignment="1" applyProtection="1">
      <alignment horizontal="center"/>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89"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78" fillId="0" borderId="0" xfId="0" applyFont="1" applyAlignment="1">
      <alignment horizontal="center"/>
    </xf>
    <xf numFmtId="0" fontId="192" fillId="0" borderId="48" xfId="4690" applyFont="1" applyBorder="1" applyAlignment="1">
      <alignment horizontal="center" vertical="center"/>
    </xf>
    <xf numFmtId="0" fontId="192" fillId="0" borderId="15" xfId="4690" applyFont="1" applyBorder="1" applyAlignment="1">
      <alignment horizontal="center" vertical="center"/>
    </xf>
    <xf numFmtId="0" fontId="192" fillId="0" borderId="49" xfId="4690" applyFont="1" applyBorder="1" applyAlignment="1">
      <alignment horizontal="center" vertical="center"/>
    </xf>
    <xf numFmtId="0" fontId="192" fillId="0" borderId="0" xfId="4690" applyFont="1" applyAlignment="1">
      <alignment horizontal="center"/>
    </xf>
    <xf numFmtId="0" fontId="192" fillId="0" borderId="51" xfId="4690" applyFont="1" applyBorder="1" applyAlignment="1">
      <alignment horizontal="center" vertical="center"/>
    </xf>
    <xf numFmtId="0" fontId="192" fillId="0" borderId="4" xfId="4690" applyFont="1" applyBorder="1" applyAlignment="1">
      <alignment horizontal="center" vertical="center"/>
    </xf>
    <xf numFmtId="0" fontId="192" fillId="0" borderId="47" xfId="4690" applyFont="1" applyBorder="1" applyAlignment="1">
      <alignment horizontal="center" vertical="center"/>
    </xf>
    <xf numFmtId="49" fontId="192"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4"/>
  <sheetViews>
    <sheetView tabSelected="1" zoomScale="80" zoomScaleNormal="80" workbookViewId="0">
      <selection activeCell="A57" sqref="A57"/>
    </sheetView>
  </sheetViews>
  <sheetFormatPr defaultColWidth="8.7265625" defaultRowHeight="15.6"/>
  <cols>
    <col min="1" max="1" width="23.7265625" style="189" customWidth="1"/>
    <col min="2" max="2" width="36.7265625" style="189" customWidth="1"/>
    <col min="3" max="3" width="67" style="189" bestFit="1" customWidth="1"/>
    <col min="4" max="4" width="18.7265625" style="189" customWidth="1"/>
    <col min="5" max="16384" width="8.7265625" style="189"/>
  </cols>
  <sheetData>
    <row r="1" spans="1:5" ht="20.399999999999999">
      <c r="A1" s="758" t="s">
        <v>317</v>
      </c>
      <c r="B1" s="758"/>
      <c r="C1" s="758"/>
      <c r="D1" s="758"/>
      <c r="E1" s="758"/>
    </row>
    <row r="2" spans="1:5" ht="20.399999999999999">
      <c r="A2" s="758" t="s">
        <v>547</v>
      </c>
      <c r="B2" s="758"/>
      <c r="C2" s="758"/>
      <c r="D2" s="758"/>
      <c r="E2" s="758"/>
    </row>
    <row r="3" spans="1:5">
      <c r="A3" s="190"/>
    </row>
    <row r="4" spans="1:5" ht="20.399999999999999">
      <c r="A4" s="758" t="s">
        <v>303</v>
      </c>
      <c r="B4" s="758"/>
      <c r="C4" s="758"/>
      <c r="D4" s="758"/>
      <c r="E4" s="758"/>
    </row>
    <row r="5" spans="1:5">
      <c r="A5" s="190"/>
      <c r="E5" s="191" t="s">
        <v>673</v>
      </c>
    </row>
    <row r="6" spans="1:5">
      <c r="A6" s="190" t="s">
        <v>304</v>
      </c>
    </row>
    <row r="7" spans="1:5" ht="47.25" customHeight="1">
      <c r="A7" s="756" t="s">
        <v>649</v>
      </c>
      <c r="B7" s="756"/>
      <c r="C7" s="756"/>
      <c r="D7" s="756"/>
      <c r="E7" s="756"/>
    </row>
    <row r="8" spans="1:5">
      <c r="A8" s="192"/>
      <c r="B8" s="192"/>
      <c r="C8" s="192"/>
      <c r="D8" s="192"/>
      <c r="E8" s="192"/>
    </row>
    <row r="9" spans="1:5" ht="36.75" customHeight="1">
      <c r="A9" s="756" t="s">
        <v>650</v>
      </c>
      <c r="B9" s="756"/>
      <c r="C9" s="756"/>
      <c r="D9" s="756"/>
      <c r="E9" s="756"/>
    </row>
    <row r="10" spans="1:5">
      <c r="A10" s="190"/>
    </row>
    <row r="11" spans="1:5" ht="51.75" customHeight="1">
      <c r="A11" s="756" t="s">
        <v>764</v>
      </c>
      <c r="B11" s="756"/>
      <c r="C11" s="756"/>
      <c r="D11" s="756"/>
      <c r="E11" s="756"/>
    </row>
    <row r="12" spans="1:5" ht="32.25" customHeight="1">
      <c r="A12" s="193"/>
      <c r="B12" s="757" t="s">
        <v>305</v>
      </c>
      <c r="C12" s="757"/>
      <c r="D12" s="757"/>
      <c r="E12" s="757"/>
    </row>
    <row r="13" spans="1:5" ht="19.5" customHeight="1">
      <c r="A13" s="194"/>
      <c r="B13" s="195" t="s">
        <v>674</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520</v>
      </c>
      <c r="B20" s="189" t="s">
        <v>479</v>
      </c>
      <c r="C20" s="189" t="s">
        <v>540</v>
      </c>
      <c r="D20" s="200" t="s">
        <v>169</v>
      </c>
    </row>
    <row r="21" spans="1:4" ht="17.25" customHeight="1">
      <c r="D21" s="198"/>
    </row>
    <row r="22" spans="1:4">
      <c r="A22" s="201" t="s">
        <v>521</v>
      </c>
      <c r="B22" s="189" t="s">
        <v>531</v>
      </c>
      <c r="C22" s="189" t="s">
        <v>310</v>
      </c>
      <c r="D22" s="200" t="s">
        <v>169</v>
      </c>
    </row>
    <row r="23" spans="1:4">
      <c r="D23" s="200"/>
    </row>
    <row r="24" spans="1:4">
      <c r="A24" s="201" t="s">
        <v>522</v>
      </c>
      <c r="B24" s="189" t="s">
        <v>532</v>
      </c>
      <c r="C24" s="189" t="s">
        <v>541</v>
      </c>
      <c r="D24" s="200" t="s">
        <v>169</v>
      </c>
    </row>
    <row r="25" spans="1:4">
      <c r="D25" s="200"/>
    </row>
    <row r="26" spans="1:4">
      <c r="A26" s="201" t="s">
        <v>523</v>
      </c>
      <c r="B26" s="189" t="s">
        <v>533</v>
      </c>
      <c r="C26" s="189" t="s">
        <v>545</v>
      </c>
      <c r="D26" s="200" t="s">
        <v>169</v>
      </c>
    </row>
    <row r="27" spans="1:4">
      <c r="D27" s="200"/>
    </row>
    <row r="28" spans="1:4">
      <c r="A28" s="201" t="s">
        <v>524</v>
      </c>
      <c r="B28" s="189" t="s">
        <v>534</v>
      </c>
      <c r="C28" s="189" t="s">
        <v>546</v>
      </c>
      <c r="D28" s="200" t="s">
        <v>169</v>
      </c>
    </row>
    <row r="29" spans="1:4">
      <c r="D29" s="200"/>
    </row>
    <row r="30" spans="1:4">
      <c r="A30" s="201" t="s">
        <v>525</v>
      </c>
      <c r="B30" s="189" t="s">
        <v>535</v>
      </c>
      <c r="C30" s="189" t="s">
        <v>542</v>
      </c>
      <c r="D30" s="200" t="s">
        <v>169</v>
      </c>
    </row>
    <row r="31" spans="1:4">
      <c r="D31" s="200"/>
    </row>
    <row r="32" spans="1:4">
      <c r="A32" s="201" t="s">
        <v>526</v>
      </c>
      <c r="B32" s="189" t="s">
        <v>536</v>
      </c>
      <c r="C32" s="189" t="s">
        <v>543</v>
      </c>
      <c r="D32" s="200" t="s">
        <v>169</v>
      </c>
    </row>
    <row r="33" spans="1:4">
      <c r="D33" s="200"/>
    </row>
    <row r="34" spans="1:4">
      <c r="A34" s="189" t="s">
        <v>725</v>
      </c>
      <c r="B34" s="189" t="s">
        <v>685</v>
      </c>
      <c r="C34" s="189" t="s">
        <v>726</v>
      </c>
      <c r="D34" s="200" t="s">
        <v>169</v>
      </c>
    </row>
    <row r="35" spans="1:4">
      <c r="D35" s="200"/>
    </row>
    <row r="36" spans="1:4">
      <c r="A36" s="189" t="s">
        <v>1041</v>
      </c>
      <c r="B36" s="189" t="s">
        <v>1037</v>
      </c>
      <c r="C36" s="189" t="s">
        <v>979</v>
      </c>
      <c r="D36" s="200" t="s">
        <v>169</v>
      </c>
    </row>
    <row r="37" spans="1:4">
      <c r="D37" s="200"/>
    </row>
    <row r="38" spans="1:4">
      <c r="A38" s="189" t="s">
        <v>1040</v>
      </c>
      <c r="B38" s="189" t="s">
        <v>1038</v>
      </c>
      <c r="C38" s="189" t="s">
        <v>1039</v>
      </c>
      <c r="D38" s="200" t="s">
        <v>169</v>
      </c>
    </row>
    <row r="39" spans="1:4">
      <c r="D39" s="200"/>
    </row>
    <row r="40" spans="1:4">
      <c r="A40" s="201" t="s">
        <v>311</v>
      </c>
      <c r="B40" s="189" t="s">
        <v>312</v>
      </c>
      <c r="C40" s="189" t="s">
        <v>313</v>
      </c>
      <c r="D40" s="200" t="s">
        <v>762</v>
      </c>
    </row>
    <row r="41" spans="1:4">
      <c r="D41" s="200"/>
    </row>
    <row r="42" spans="1:4">
      <c r="A42" s="201" t="s">
        <v>527</v>
      </c>
      <c r="B42" s="189" t="s">
        <v>480</v>
      </c>
      <c r="C42" s="189" t="s">
        <v>544</v>
      </c>
      <c r="D42" s="200" t="s">
        <v>763</v>
      </c>
    </row>
    <row r="43" spans="1:4">
      <c r="D43" s="200"/>
    </row>
    <row r="44" spans="1:4">
      <c r="A44" s="201" t="s">
        <v>528</v>
      </c>
      <c r="B44" s="189" t="s">
        <v>537</v>
      </c>
      <c r="C44" s="189" t="s">
        <v>314</v>
      </c>
      <c r="D44" s="200" t="s">
        <v>763</v>
      </c>
    </row>
    <row r="45" spans="1:4">
      <c r="D45" s="200"/>
    </row>
    <row r="46" spans="1:4">
      <c r="A46" s="201" t="s">
        <v>529</v>
      </c>
      <c r="B46" s="189" t="s">
        <v>538</v>
      </c>
      <c r="C46" s="189" t="s">
        <v>315</v>
      </c>
      <c r="D46" s="200" t="s">
        <v>763</v>
      </c>
    </row>
    <row r="47" spans="1:4">
      <c r="D47" s="200"/>
    </row>
    <row r="48" spans="1:4">
      <c r="A48" s="201" t="s">
        <v>530</v>
      </c>
      <c r="B48" s="189" t="s">
        <v>539</v>
      </c>
      <c r="C48" s="189" t="s">
        <v>316</v>
      </c>
      <c r="D48" s="200" t="s">
        <v>763</v>
      </c>
    </row>
    <row r="49" spans="1:4">
      <c r="A49" s="202"/>
      <c r="B49" s="202"/>
      <c r="C49" s="202"/>
      <c r="D49" s="203"/>
    </row>
    <row r="50" spans="1:4">
      <c r="A50" s="201" t="s">
        <v>727</v>
      </c>
      <c r="B50" s="189" t="s">
        <v>728</v>
      </c>
      <c r="C50" s="189" t="s">
        <v>709</v>
      </c>
      <c r="D50" s="200" t="s">
        <v>763</v>
      </c>
    </row>
    <row r="51" spans="1:4">
      <c r="A51" s="202"/>
      <c r="B51" s="202"/>
      <c r="C51" s="202"/>
      <c r="D51" s="203"/>
    </row>
    <row r="52" spans="1:4">
      <c r="A52" s="201" t="s">
        <v>873</v>
      </c>
      <c r="B52" s="189" t="s">
        <v>860</v>
      </c>
      <c r="C52" s="189" t="s">
        <v>874</v>
      </c>
      <c r="D52" s="200" t="s">
        <v>763</v>
      </c>
    </row>
    <row r="53" spans="1:4">
      <c r="A53" s="202"/>
      <c r="B53" s="202"/>
      <c r="C53" s="202"/>
      <c r="D53" s="203"/>
    </row>
    <row r="54" spans="1:4">
      <c r="A54" s="201" t="s">
        <v>736</v>
      </c>
      <c r="B54" s="189" t="s">
        <v>736</v>
      </c>
      <c r="C54" s="189" t="s">
        <v>737</v>
      </c>
      <c r="D54" s="200"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J43"/>
  <sheetViews>
    <sheetView workbookViewId="0">
      <selection activeCell="A42" sqref="A42"/>
    </sheetView>
  </sheetViews>
  <sheetFormatPr defaultColWidth="7.08984375" defaultRowHeight="13.2"/>
  <cols>
    <col min="1" max="1" width="2.08984375" style="204" customWidth="1"/>
    <col min="2" max="2" width="4.7265625" style="204" customWidth="1"/>
    <col min="3" max="3" width="17.453125" style="204" customWidth="1"/>
    <col min="4" max="4" width="36.7265625" style="204" bestFit="1" customWidth="1"/>
    <col min="5" max="5" width="10" style="204" customWidth="1"/>
    <col min="6" max="6" width="7.26953125" style="204" customWidth="1"/>
    <col min="7" max="7" width="7.54296875" style="204" customWidth="1"/>
    <col min="8" max="8" width="9.26953125" style="215" customWidth="1"/>
    <col min="9" max="9" width="8.26953125" style="204" customWidth="1"/>
    <col min="10" max="249" width="7.08984375" style="204"/>
    <col min="250" max="250" width="10.26953125" style="204" customWidth="1"/>
    <col min="251" max="251" width="3.54296875" style="204" customWidth="1"/>
    <col min="252" max="253" width="1.7265625" style="204" customWidth="1"/>
    <col min="254" max="254" width="4" style="204" customWidth="1"/>
    <col min="255" max="255" width="24.26953125" style="204" customWidth="1"/>
    <col min="256" max="256" width="1.7265625" style="204" customWidth="1"/>
    <col min="257" max="258" width="8.26953125" style="204" customWidth="1"/>
    <col min="259" max="505" width="7.08984375" style="204"/>
    <col min="506" max="506" width="10.26953125" style="204" customWidth="1"/>
    <col min="507" max="507" width="3.54296875" style="204" customWidth="1"/>
    <col min="508" max="509" width="1.7265625" style="204" customWidth="1"/>
    <col min="510" max="510" width="4" style="204" customWidth="1"/>
    <col min="511" max="511" width="24.26953125" style="204" customWidth="1"/>
    <col min="512" max="512" width="1.7265625" style="204" customWidth="1"/>
    <col min="513" max="514" width="8.26953125" style="204" customWidth="1"/>
    <col min="515" max="761" width="7.08984375" style="204"/>
    <col min="762" max="762" width="10.26953125" style="204" customWidth="1"/>
    <col min="763" max="763" width="3.54296875" style="204" customWidth="1"/>
    <col min="764" max="765" width="1.7265625" style="204" customWidth="1"/>
    <col min="766" max="766" width="4" style="204" customWidth="1"/>
    <col min="767" max="767" width="24.26953125" style="204" customWidth="1"/>
    <col min="768" max="768" width="1.7265625" style="204" customWidth="1"/>
    <col min="769" max="770" width="8.26953125" style="204" customWidth="1"/>
    <col min="771" max="1017" width="7.08984375" style="204"/>
    <col min="1018" max="1018" width="10.26953125" style="204" customWidth="1"/>
    <col min="1019" max="1019" width="3.54296875" style="204" customWidth="1"/>
    <col min="1020" max="1021" width="1.7265625" style="204" customWidth="1"/>
    <col min="1022" max="1022" width="4" style="204" customWidth="1"/>
    <col min="1023" max="1023" width="24.26953125" style="204" customWidth="1"/>
    <col min="1024" max="1024" width="1.7265625" style="204" customWidth="1"/>
    <col min="1025" max="1026" width="8.26953125" style="204" customWidth="1"/>
    <col min="1027" max="1273" width="7.08984375" style="204"/>
    <col min="1274" max="1274" width="10.26953125" style="204" customWidth="1"/>
    <col min="1275" max="1275" width="3.54296875" style="204" customWidth="1"/>
    <col min="1276" max="1277" width="1.7265625" style="204" customWidth="1"/>
    <col min="1278" max="1278" width="4" style="204" customWidth="1"/>
    <col min="1279" max="1279" width="24.26953125" style="204" customWidth="1"/>
    <col min="1280" max="1280" width="1.7265625" style="204" customWidth="1"/>
    <col min="1281" max="1282" width="8.26953125" style="204" customWidth="1"/>
    <col min="1283" max="1529" width="7.08984375" style="204"/>
    <col min="1530" max="1530" width="10.26953125" style="204" customWidth="1"/>
    <col min="1531" max="1531" width="3.54296875" style="204" customWidth="1"/>
    <col min="1532" max="1533" width="1.7265625" style="204" customWidth="1"/>
    <col min="1534" max="1534" width="4" style="204" customWidth="1"/>
    <col min="1535" max="1535" width="24.26953125" style="204" customWidth="1"/>
    <col min="1536" max="1536" width="1.7265625" style="204" customWidth="1"/>
    <col min="1537" max="1538" width="8.26953125" style="204" customWidth="1"/>
    <col min="1539" max="1785" width="7.08984375" style="204"/>
    <col min="1786" max="1786" width="10.26953125" style="204" customWidth="1"/>
    <col min="1787" max="1787" width="3.54296875" style="204" customWidth="1"/>
    <col min="1788" max="1789" width="1.7265625" style="204" customWidth="1"/>
    <col min="1790" max="1790" width="4" style="204" customWidth="1"/>
    <col min="1791" max="1791" width="24.26953125" style="204" customWidth="1"/>
    <col min="1792" max="1792" width="1.7265625" style="204" customWidth="1"/>
    <col min="1793" max="1794" width="8.26953125" style="204" customWidth="1"/>
    <col min="1795" max="2041" width="7.08984375" style="204"/>
    <col min="2042" max="2042" width="10.26953125" style="204" customWidth="1"/>
    <col min="2043" max="2043" width="3.54296875" style="204" customWidth="1"/>
    <col min="2044" max="2045" width="1.7265625" style="204" customWidth="1"/>
    <col min="2046" max="2046" width="4" style="204" customWidth="1"/>
    <col min="2047" max="2047" width="24.26953125" style="204" customWidth="1"/>
    <col min="2048" max="2048" width="1.7265625" style="204" customWidth="1"/>
    <col min="2049" max="2050" width="8.26953125" style="204" customWidth="1"/>
    <col min="2051" max="2297" width="7.08984375" style="204"/>
    <col min="2298" max="2298" width="10.26953125" style="204" customWidth="1"/>
    <col min="2299" max="2299" width="3.54296875" style="204" customWidth="1"/>
    <col min="2300" max="2301" width="1.7265625" style="204" customWidth="1"/>
    <col min="2302" max="2302" width="4" style="204" customWidth="1"/>
    <col min="2303" max="2303" width="24.26953125" style="204" customWidth="1"/>
    <col min="2304" max="2304" width="1.7265625" style="204" customWidth="1"/>
    <col min="2305" max="2306" width="8.26953125" style="204" customWidth="1"/>
    <col min="2307" max="2553" width="7.08984375" style="204"/>
    <col min="2554" max="2554" width="10.26953125" style="204" customWidth="1"/>
    <col min="2555" max="2555" width="3.54296875" style="204" customWidth="1"/>
    <col min="2556" max="2557" width="1.7265625" style="204" customWidth="1"/>
    <col min="2558" max="2558" width="4" style="204" customWidth="1"/>
    <col min="2559" max="2559" width="24.26953125" style="204" customWidth="1"/>
    <col min="2560" max="2560" width="1.7265625" style="204" customWidth="1"/>
    <col min="2561" max="2562" width="8.26953125" style="204" customWidth="1"/>
    <col min="2563" max="2809" width="7.08984375" style="204"/>
    <col min="2810" max="2810" width="10.26953125" style="204" customWidth="1"/>
    <col min="2811" max="2811" width="3.54296875" style="204" customWidth="1"/>
    <col min="2812" max="2813" width="1.7265625" style="204" customWidth="1"/>
    <col min="2814" max="2814" width="4" style="204" customWidth="1"/>
    <col min="2815" max="2815" width="24.26953125" style="204" customWidth="1"/>
    <col min="2816" max="2816" width="1.7265625" style="204" customWidth="1"/>
    <col min="2817" max="2818" width="8.26953125" style="204" customWidth="1"/>
    <col min="2819" max="3065" width="7.08984375" style="204"/>
    <col min="3066" max="3066" width="10.26953125" style="204" customWidth="1"/>
    <col min="3067" max="3067" width="3.54296875" style="204" customWidth="1"/>
    <col min="3068" max="3069" width="1.7265625" style="204" customWidth="1"/>
    <col min="3070" max="3070" width="4" style="204" customWidth="1"/>
    <col min="3071" max="3071" width="24.26953125" style="204" customWidth="1"/>
    <col min="3072" max="3072" width="1.7265625" style="204" customWidth="1"/>
    <col min="3073" max="3074" width="8.26953125" style="204" customWidth="1"/>
    <col min="3075" max="3321" width="7.08984375" style="204"/>
    <col min="3322" max="3322" width="10.26953125" style="204" customWidth="1"/>
    <col min="3323" max="3323" width="3.54296875" style="204" customWidth="1"/>
    <col min="3324" max="3325" width="1.7265625" style="204" customWidth="1"/>
    <col min="3326" max="3326" width="4" style="204" customWidth="1"/>
    <col min="3327" max="3327" width="24.26953125" style="204" customWidth="1"/>
    <col min="3328" max="3328" width="1.7265625" style="204" customWidth="1"/>
    <col min="3329" max="3330" width="8.26953125" style="204" customWidth="1"/>
    <col min="3331" max="3577" width="7.08984375" style="204"/>
    <col min="3578" max="3578" width="10.26953125" style="204" customWidth="1"/>
    <col min="3579" max="3579" width="3.54296875" style="204" customWidth="1"/>
    <col min="3580" max="3581" width="1.7265625" style="204" customWidth="1"/>
    <col min="3582" max="3582" width="4" style="204" customWidth="1"/>
    <col min="3583" max="3583" width="24.26953125" style="204" customWidth="1"/>
    <col min="3584" max="3584" width="1.7265625" style="204" customWidth="1"/>
    <col min="3585" max="3586" width="8.26953125" style="204" customWidth="1"/>
    <col min="3587" max="3833" width="7.08984375" style="204"/>
    <col min="3834" max="3834" width="10.26953125" style="204" customWidth="1"/>
    <col min="3835" max="3835" width="3.54296875" style="204" customWidth="1"/>
    <col min="3836" max="3837" width="1.7265625" style="204" customWidth="1"/>
    <col min="3838" max="3838" width="4" style="204" customWidth="1"/>
    <col min="3839" max="3839" width="24.26953125" style="204" customWidth="1"/>
    <col min="3840" max="3840" width="1.7265625" style="204" customWidth="1"/>
    <col min="3841" max="3842" width="8.26953125" style="204" customWidth="1"/>
    <col min="3843" max="4089" width="7.08984375" style="204"/>
    <col min="4090" max="4090" width="10.26953125" style="204" customWidth="1"/>
    <col min="4091" max="4091" width="3.54296875" style="204" customWidth="1"/>
    <col min="4092" max="4093" width="1.7265625" style="204" customWidth="1"/>
    <col min="4094" max="4094" width="4" style="204" customWidth="1"/>
    <col min="4095" max="4095" width="24.26953125" style="204" customWidth="1"/>
    <col min="4096" max="4096" width="1.7265625" style="204" customWidth="1"/>
    <col min="4097" max="4098" width="8.26953125" style="204" customWidth="1"/>
    <col min="4099" max="4345" width="7.08984375" style="204"/>
    <col min="4346" max="4346" width="10.26953125" style="204" customWidth="1"/>
    <col min="4347" max="4347" width="3.54296875" style="204" customWidth="1"/>
    <col min="4348" max="4349" width="1.7265625" style="204" customWidth="1"/>
    <col min="4350" max="4350" width="4" style="204" customWidth="1"/>
    <col min="4351" max="4351" width="24.26953125" style="204" customWidth="1"/>
    <col min="4352" max="4352" width="1.7265625" style="204" customWidth="1"/>
    <col min="4353" max="4354" width="8.26953125" style="204" customWidth="1"/>
    <col min="4355" max="4601" width="7.08984375" style="204"/>
    <col min="4602" max="4602" width="10.26953125" style="204" customWidth="1"/>
    <col min="4603" max="4603" width="3.54296875" style="204" customWidth="1"/>
    <col min="4604" max="4605" width="1.7265625" style="204" customWidth="1"/>
    <col min="4606" max="4606" width="4" style="204" customWidth="1"/>
    <col min="4607" max="4607" width="24.26953125" style="204" customWidth="1"/>
    <col min="4608" max="4608" width="1.7265625" style="204" customWidth="1"/>
    <col min="4609" max="4610" width="8.26953125" style="204" customWidth="1"/>
    <col min="4611" max="4857" width="7.08984375" style="204"/>
    <col min="4858" max="4858" width="10.26953125" style="204" customWidth="1"/>
    <col min="4859" max="4859" width="3.54296875" style="204" customWidth="1"/>
    <col min="4860" max="4861" width="1.7265625" style="204" customWidth="1"/>
    <col min="4862" max="4862" width="4" style="204" customWidth="1"/>
    <col min="4863" max="4863" width="24.26953125" style="204" customWidth="1"/>
    <col min="4864" max="4864" width="1.7265625" style="204" customWidth="1"/>
    <col min="4865" max="4866" width="8.26953125" style="204" customWidth="1"/>
    <col min="4867" max="5113" width="7.08984375" style="204"/>
    <col min="5114" max="5114" width="10.26953125" style="204" customWidth="1"/>
    <col min="5115" max="5115" width="3.54296875" style="204" customWidth="1"/>
    <col min="5116" max="5117" width="1.7265625" style="204" customWidth="1"/>
    <col min="5118" max="5118" width="4" style="204" customWidth="1"/>
    <col min="5119" max="5119" width="24.26953125" style="204" customWidth="1"/>
    <col min="5120" max="5120" width="1.7265625" style="204" customWidth="1"/>
    <col min="5121" max="5122" width="8.26953125" style="204" customWidth="1"/>
    <col min="5123" max="5369" width="7.08984375" style="204"/>
    <col min="5370" max="5370" width="10.26953125" style="204" customWidth="1"/>
    <col min="5371" max="5371" width="3.54296875" style="204" customWidth="1"/>
    <col min="5372" max="5373" width="1.7265625" style="204" customWidth="1"/>
    <col min="5374" max="5374" width="4" style="204" customWidth="1"/>
    <col min="5375" max="5375" width="24.26953125" style="204" customWidth="1"/>
    <col min="5376" max="5376" width="1.7265625" style="204" customWidth="1"/>
    <col min="5377" max="5378" width="8.26953125" style="204" customWidth="1"/>
    <col min="5379" max="5625" width="7.08984375" style="204"/>
    <col min="5626" max="5626" width="10.26953125" style="204" customWidth="1"/>
    <col min="5627" max="5627" width="3.54296875" style="204" customWidth="1"/>
    <col min="5628" max="5629" width="1.7265625" style="204" customWidth="1"/>
    <col min="5630" max="5630" width="4" style="204" customWidth="1"/>
    <col min="5631" max="5631" width="24.26953125" style="204" customWidth="1"/>
    <col min="5632" max="5632" width="1.7265625" style="204" customWidth="1"/>
    <col min="5633" max="5634" width="8.26953125" style="204" customWidth="1"/>
    <col min="5635" max="5881" width="7.08984375" style="204"/>
    <col min="5882" max="5882" width="10.26953125" style="204" customWidth="1"/>
    <col min="5883" max="5883" width="3.54296875" style="204" customWidth="1"/>
    <col min="5884" max="5885" width="1.7265625" style="204" customWidth="1"/>
    <col min="5886" max="5886" width="4" style="204" customWidth="1"/>
    <col min="5887" max="5887" width="24.26953125" style="204" customWidth="1"/>
    <col min="5888" max="5888" width="1.7265625" style="204" customWidth="1"/>
    <col min="5889" max="5890" width="8.26953125" style="204" customWidth="1"/>
    <col min="5891" max="6137" width="7.08984375" style="204"/>
    <col min="6138" max="6138" width="10.26953125" style="204" customWidth="1"/>
    <col min="6139" max="6139" width="3.54296875" style="204" customWidth="1"/>
    <col min="6140" max="6141" width="1.7265625" style="204" customWidth="1"/>
    <col min="6142" max="6142" width="4" style="204" customWidth="1"/>
    <col min="6143" max="6143" width="24.26953125" style="204" customWidth="1"/>
    <col min="6144" max="6144" width="1.7265625" style="204" customWidth="1"/>
    <col min="6145" max="6146" width="8.26953125" style="204" customWidth="1"/>
    <col min="6147" max="6393" width="7.08984375" style="204"/>
    <col min="6394" max="6394" width="10.26953125" style="204" customWidth="1"/>
    <col min="6395" max="6395" width="3.54296875" style="204" customWidth="1"/>
    <col min="6396" max="6397" width="1.7265625" style="204" customWidth="1"/>
    <col min="6398" max="6398" width="4" style="204" customWidth="1"/>
    <col min="6399" max="6399" width="24.26953125" style="204" customWidth="1"/>
    <col min="6400" max="6400" width="1.7265625" style="204" customWidth="1"/>
    <col min="6401" max="6402" width="8.26953125" style="204" customWidth="1"/>
    <col min="6403" max="6649" width="7.08984375" style="204"/>
    <col min="6650" max="6650" width="10.26953125" style="204" customWidth="1"/>
    <col min="6651" max="6651" width="3.54296875" style="204" customWidth="1"/>
    <col min="6652" max="6653" width="1.7265625" style="204" customWidth="1"/>
    <col min="6654" max="6654" width="4" style="204" customWidth="1"/>
    <col min="6655" max="6655" width="24.26953125" style="204" customWidth="1"/>
    <col min="6656" max="6656" width="1.7265625" style="204" customWidth="1"/>
    <col min="6657" max="6658" width="8.26953125" style="204" customWidth="1"/>
    <col min="6659" max="6905" width="7.08984375" style="204"/>
    <col min="6906" max="6906" width="10.26953125" style="204" customWidth="1"/>
    <col min="6907" max="6907" width="3.54296875" style="204" customWidth="1"/>
    <col min="6908" max="6909" width="1.7265625" style="204" customWidth="1"/>
    <col min="6910" max="6910" width="4" style="204" customWidth="1"/>
    <col min="6911" max="6911" width="24.26953125" style="204" customWidth="1"/>
    <col min="6912" max="6912" width="1.7265625" style="204" customWidth="1"/>
    <col min="6913" max="6914" width="8.26953125" style="204" customWidth="1"/>
    <col min="6915" max="7161" width="7.08984375" style="204"/>
    <col min="7162" max="7162" width="10.26953125" style="204" customWidth="1"/>
    <col min="7163" max="7163" width="3.54296875" style="204" customWidth="1"/>
    <col min="7164" max="7165" width="1.7265625" style="204" customWidth="1"/>
    <col min="7166" max="7166" width="4" style="204" customWidth="1"/>
    <col min="7167" max="7167" width="24.26953125" style="204" customWidth="1"/>
    <col min="7168" max="7168" width="1.7265625" style="204" customWidth="1"/>
    <col min="7169" max="7170" width="8.26953125" style="204" customWidth="1"/>
    <col min="7171" max="7417" width="7.08984375" style="204"/>
    <col min="7418" max="7418" width="10.26953125" style="204" customWidth="1"/>
    <col min="7419" max="7419" width="3.54296875" style="204" customWidth="1"/>
    <col min="7420" max="7421" width="1.7265625" style="204" customWidth="1"/>
    <col min="7422" max="7422" width="4" style="204" customWidth="1"/>
    <col min="7423" max="7423" width="24.26953125" style="204" customWidth="1"/>
    <col min="7424" max="7424" width="1.7265625" style="204" customWidth="1"/>
    <col min="7425" max="7426" width="8.26953125" style="204" customWidth="1"/>
    <col min="7427" max="7673" width="7.08984375" style="204"/>
    <col min="7674" max="7674" width="10.26953125" style="204" customWidth="1"/>
    <col min="7675" max="7675" width="3.54296875" style="204" customWidth="1"/>
    <col min="7676" max="7677" width="1.7265625" style="204" customWidth="1"/>
    <col min="7678" max="7678" width="4" style="204" customWidth="1"/>
    <col min="7679" max="7679" width="24.26953125" style="204" customWidth="1"/>
    <col min="7680" max="7680" width="1.7265625" style="204" customWidth="1"/>
    <col min="7681" max="7682" width="8.26953125" style="204" customWidth="1"/>
    <col min="7683" max="7929" width="7.08984375" style="204"/>
    <col min="7930" max="7930" width="10.26953125" style="204" customWidth="1"/>
    <col min="7931" max="7931" width="3.54296875" style="204" customWidth="1"/>
    <col min="7932" max="7933" width="1.7265625" style="204" customWidth="1"/>
    <col min="7934" max="7934" width="4" style="204" customWidth="1"/>
    <col min="7935" max="7935" width="24.26953125" style="204" customWidth="1"/>
    <col min="7936" max="7936" width="1.7265625" style="204" customWidth="1"/>
    <col min="7937" max="7938" width="8.26953125" style="204" customWidth="1"/>
    <col min="7939" max="8185" width="7.08984375" style="204"/>
    <col min="8186" max="8186" width="10.26953125" style="204" customWidth="1"/>
    <col min="8187" max="8187" width="3.54296875" style="204" customWidth="1"/>
    <col min="8188" max="8189" width="1.7265625" style="204" customWidth="1"/>
    <col min="8190" max="8190" width="4" style="204" customWidth="1"/>
    <col min="8191" max="8191" width="24.26953125" style="204" customWidth="1"/>
    <col min="8192" max="8192" width="1.7265625" style="204" customWidth="1"/>
    <col min="8193" max="8194" width="8.26953125" style="204" customWidth="1"/>
    <col min="8195" max="8441" width="7.08984375" style="204"/>
    <col min="8442" max="8442" width="10.26953125" style="204" customWidth="1"/>
    <col min="8443" max="8443" width="3.54296875" style="204" customWidth="1"/>
    <col min="8444" max="8445" width="1.7265625" style="204" customWidth="1"/>
    <col min="8446" max="8446" width="4" style="204" customWidth="1"/>
    <col min="8447" max="8447" width="24.26953125" style="204" customWidth="1"/>
    <col min="8448" max="8448" width="1.7265625" style="204" customWidth="1"/>
    <col min="8449" max="8450" width="8.26953125" style="204" customWidth="1"/>
    <col min="8451" max="8697" width="7.08984375" style="204"/>
    <col min="8698" max="8698" width="10.26953125" style="204" customWidth="1"/>
    <col min="8699" max="8699" width="3.54296875" style="204" customWidth="1"/>
    <col min="8700" max="8701" width="1.7265625" style="204" customWidth="1"/>
    <col min="8702" max="8702" width="4" style="204" customWidth="1"/>
    <col min="8703" max="8703" width="24.26953125" style="204" customWidth="1"/>
    <col min="8704" max="8704" width="1.7265625" style="204" customWidth="1"/>
    <col min="8705" max="8706" width="8.26953125" style="204" customWidth="1"/>
    <col min="8707" max="8953" width="7.08984375" style="204"/>
    <col min="8954" max="8954" width="10.26953125" style="204" customWidth="1"/>
    <col min="8955" max="8955" width="3.54296875" style="204" customWidth="1"/>
    <col min="8956" max="8957" width="1.7265625" style="204" customWidth="1"/>
    <col min="8958" max="8958" width="4" style="204" customWidth="1"/>
    <col min="8959" max="8959" width="24.26953125" style="204" customWidth="1"/>
    <col min="8960" max="8960" width="1.7265625" style="204" customWidth="1"/>
    <col min="8961" max="8962" width="8.26953125" style="204" customWidth="1"/>
    <col min="8963" max="9209" width="7.08984375" style="204"/>
    <col min="9210" max="9210" width="10.26953125" style="204" customWidth="1"/>
    <col min="9211" max="9211" width="3.54296875" style="204" customWidth="1"/>
    <col min="9212" max="9213" width="1.7265625" style="204" customWidth="1"/>
    <col min="9214" max="9214" width="4" style="204" customWidth="1"/>
    <col min="9215" max="9215" width="24.26953125" style="204" customWidth="1"/>
    <col min="9216" max="9216" width="1.7265625" style="204" customWidth="1"/>
    <col min="9217" max="9218" width="8.26953125" style="204" customWidth="1"/>
    <col min="9219" max="9465" width="7.08984375" style="204"/>
    <col min="9466" max="9466" width="10.26953125" style="204" customWidth="1"/>
    <col min="9467" max="9467" width="3.54296875" style="204" customWidth="1"/>
    <col min="9468" max="9469" width="1.7265625" style="204" customWidth="1"/>
    <col min="9470" max="9470" width="4" style="204" customWidth="1"/>
    <col min="9471" max="9471" width="24.26953125" style="204" customWidth="1"/>
    <col min="9472" max="9472" width="1.7265625" style="204" customWidth="1"/>
    <col min="9473" max="9474" width="8.26953125" style="204" customWidth="1"/>
    <col min="9475" max="9721" width="7.08984375" style="204"/>
    <col min="9722" max="9722" width="10.26953125" style="204" customWidth="1"/>
    <col min="9723" max="9723" width="3.54296875" style="204" customWidth="1"/>
    <col min="9724" max="9725" width="1.7265625" style="204" customWidth="1"/>
    <col min="9726" max="9726" width="4" style="204" customWidth="1"/>
    <col min="9727" max="9727" width="24.26953125" style="204" customWidth="1"/>
    <col min="9728" max="9728" width="1.7265625" style="204" customWidth="1"/>
    <col min="9729" max="9730" width="8.26953125" style="204" customWidth="1"/>
    <col min="9731" max="9977" width="7.08984375" style="204"/>
    <col min="9978" max="9978" width="10.26953125" style="204" customWidth="1"/>
    <col min="9979" max="9979" width="3.54296875" style="204" customWidth="1"/>
    <col min="9980" max="9981" width="1.7265625" style="204" customWidth="1"/>
    <col min="9982" max="9982" width="4" style="204" customWidth="1"/>
    <col min="9983" max="9983" width="24.26953125" style="204" customWidth="1"/>
    <col min="9984" max="9984" width="1.7265625" style="204" customWidth="1"/>
    <col min="9985" max="9986" width="8.26953125" style="204" customWidth="1"/>
    <col min="9987" max="10233" width="7.08984375" style="204"/>
    <col min="10234" max="10234" width="10.26953125" style="204" customWidth="1"/>
    <col min="10235" max="10235" width="3.54296875" style="204" customWidth="1"/>
    <col min="10236" max="10237" width="1.7265625" style="204" customWidth="1"/>
    <col min="10238" max="10238" width="4" style="204" customWidth="1"/>
    <col min="10239" max="10239" width="24.26953125" style="204" customWidth="1"/>
    <col min="10240" max="10240" width="1.7265625" style="204" customWidth="1"/>
    <col min="10241" max="10242" width="8.26953125" style="204" customWidth="1"/>
    <col min="10243" max="10489" width="7.08984375" style="204"/>
    <col min="10490" max="10490" width="10.26953125" style="204" customWidth="1"/>
    <col min="10491" max="10491" width="3.54296875" style="204" customWidth="1"/>
    <col min="10492" max="10493" width="1.7265625" style="204" customWidth="1"/>
    <col min="10494" max="10494" width="4" style="204" customWidth="1"/>
    <col min="10495" max="10495" width="24.26953125" style="204" customWidth="1"/>
    <col min="10496" max="10496" width="1.7265625" style="204" customWidth="1"/>
    <col min="10497" max="10498" width="8.26953125" style="204" customWidth="1"/>
    <col min="10499" max="10745" width="7.08984375" style="204"/>
    <col min="10746" max="10746" width="10.26953125" style="204" customWidth="1"/>
    <col min="10747" max="10747" width="3.54296875" style="204" customWidth="1"/>
    <col min="10748" max="10749" width="1.7265625" style="204" customWidth="1"/>
    <col min="10750" max="10750" width="4" style="204" customWidth="1"/>
    <col min="10751" max="10751" width="24.26953125" style="204" customWidth="1"/>
    <col min="10752" max="10752" width="1.7265625" style="204" customWidth="1"/>
    <col min="10753" max="10754" width="8.26953125" style="204" customWidth="1"/>
    <col min="10755" max="11001" width="7.08984375" style="204"/>
    <col min="11002" max="11002" width="10.26953125" style="204" customWidth="1"/>
    <col min="11003" max="11003" width="3.54296875" style="204" customWidth="1"/>
    <col min="11004" max="11005" width="1.7265625" style="204" customWidth="1"/>
    <col min="11006" max="11006" width="4" style="204" customWidth="1"/>
    <col min="11007" max="11007" width="24.26953125" style="204" customWidth="1"/>
    <col min="11008" max="11008" width="1.7265625" style="204" customWidth="1"/>
    <col min="11009" max="11010" width="8.26953125" style="204" customWidth="1"/>
    <col min="11011" max="11257" width="7.08984375" style="204"/>
    <col min="11258" max="11258" width="10.26953125" style="204" customWidth="1"/>
    <col min="11259" max="11259" width="3.54296875" style="204" customWidth="1"/>
    <col min="11260" max="11261" width="1.7265625" style="204" customWidth="1"/>
    <col min="11262" max="11262" width="4" style="204" customWidth="1"/>
    <col min="11263" max="11263" width="24.26953125" style="204" customWidth="1"/>
    <col min="11264" max="11264" width="1.7265625" style="204" customWidth="1"/>
    <col min="11265" max="11266" width="8.26953125" style="204" customWidth="1"/>
    <col min="11267" max="11513" width="7.08984375" style="204"/>
    <col min="11514" max="11514" width="10.26953125" style="204" customWidth="1"/>
    <col min="11515" max="11515" width="3.54296875" style="204" customWidth="1"/>
    <col min="11516" max="11517" width="1.7265625" style="204" customWidth="1"/>
    <col min="11518" max="11518" width="4" style="204" customWidth="1"/>
    <col min="11519" max="11519" width="24.26953125" style="204" customWidth="1"/>
    <col min="11520" max="11520" width="1.7265625" style="204" customWidth="1"/>
    <col min="11521" max="11522" width="8.26953125" style="204" customWidth="1"/>
    <col min="11523" max="11769" width="7.08984375" style="204"/>
    <col min="11770" max="11770" width="10.26953125" style="204" customWidth="1"/>
    <col min="11771" max="11771" width="3.54296875" style="204" customWidth="1"/>
    <col min="11772" max="11773" width="1.7265625" style="204" customWidth="1"/>
    <col min="11774" max="11774" width="4" style="204" customWidth="1"/>
    <col min="11775" max="11775" width="24.26953125" style="204" customWidth="1"/>
    <col min="11776" max="11776" width="1.7265625" style="204" customWidth="1"/>
    <col min="11777" max="11778" width="8.26953125" style="204" customWidth="1"/>
    <col min="11779" max="12025" width="7.08984375" style="204"/>
    <col min="12026" max="12026" width="10.26953125" style="204" customWidth="1"/>
    <col min="12027" max="12027" width="3.54296875" style="204" customWidth="1"/>
    <col min="12028" max="12029" width="1.7265625" style="204" customWidth="1"/>
    <col min="12030" max="12030" width="4" style="204" customWidth="1"/>
    <col min="12031" max="12031" width="24.26953125" style="204" customWidth="1"/>
    <col min="12032" max="12032" width="1.7265625" style="204" customWidth="1"/>
    <col min="12033" max="12034" width="8.26953125" style="204" customWidth="1"/>
    <col min="12035" max="12281" width="7.08984375" style="204"/>
    <col min="12282" max="12282" width="10.26953125" style="204" customWidth="1"/>
    <col min="12283" max="12283" width="3.54296875" style="204" customWidth="1"/>
    <col min="12284" max="12285" width="1.7265625" style="204" customWidth="1"/>
    <col min="12286" max="12286" width="4" style="204" customWidth="1"/>
    <col min="12287" max="12287" width="24.26953125" style="204" customWidth="1"/>
    <col min="12288" max="12288" width="1.7265625" style="204" customWidth="1"/>
    <col min="12289" max="12290" width="8.26953125" style="204" customWidth="1"/>
    <col min="12291" max="12537" width="7.08984375" style="204"/>
    <col min="12538" max="12538" width="10.26953125" style="204" customWidth="1"/>
    <col min="12539" max="12539" width="3.54296875" style="204" customWidth="1"/>
    <col min="12540" max="12541" width="1.7265625" style="204" customWidth="1"/>
    <col min="12542" max="12542" width="4" style="204" customWidth="1"/>
    <col min="12543" max="12543" width="24.26953125" style="204" customWidth="1"/>
    <col min="12544" max="12544" width="1.7265625" style="204" customWidth="1"/>
    <col min="12545" max="12546" width="8.26953125" style="204" customWidth="1"/>
    <col min="12547" max="12793" width="7.08984375" style="204"/>
    <col min="12794" max="12794" width="10.26953125" style="204" customWidth="1"/>
    <col min="12795" max="12795" width="3.54296875" style="204" customWidth="1"/>
    <col min="12796" max="12797" width="1.7265625" style="204" customWidth="1"/>
    <col min="12798" max="12798" width="4" style="204" customWidth="1"/>
    <col min="12799" max="12799" width="24.26953125" style="204" customWidth="1"/>
    <col min="12800" max="12800" width="1.7265625" style="204" customWidth="1"/>
    <col min="12801" max="12802" width="8.26953125" style="204" customWidth="1"/>
    <col min="12803" max="13049" width="7.08984375" style="204"/>
    <col min="13050" max="13050" width="10.26953125" style="204" customWidth="1"/>
    <col min="13051" max="13051" width="3.54296875" style="204" customWidth="1"/>
    <col min="13052" max="13053" width="1.7265625" style="204" customWidth="1"/>
    <col min="13054" max="13054" width="4" style="204" customWidth="1"/>
    <col min="13055" max="13055" width="24.26953125" style="204" customWidth="1"/>
    <col min="13056" max="13056" width="1.7265625" style="204" customWidth="1"/>
    <col min="13057" max="13058" width="8.26953125" style="204" customWidth="1"/>
    <col min="13059" max="13305" width="7.08984375" style="204"/>
    <col min="13306" max="13306" width="10.26953125" style="204" customWidth="1"/>
    <col min="13307" max="13307" width="3.54296875" style="204" customWidth="1"/>
    <col min="13308" max="13309" width="1.7265625" style="204" customWidth="1"/>
    <col min="13310" max="13310" width="4" style="204" customWidth="1"/>
    <col min="13311" max="13311" width="24.26953125" style="204" customWidth="1"/>
    <col min="13312" max="13312" width="1.7265625" style="204" customWidth="1"/>
    <col min="13313" max="13314" width="8.26953125" style="204" customWidth="1"/>
    <col min="13315" max="13561" width="7.08984375" style="204"/>
    <col min="13562" max="13562" width="10.26953125" style="204" customWidth="1"/>
    <col min="13563" max="13563" width="3.54296875" style="204" customWidth="1"/>
    <col min="13564" max="13565" width="1.7265625" style="204" customWidth="1"/>
    <col min="13566" max="13566" width="4" style="204" customWidth="1"/>
    <col min="13567" max="13567" width="24.26953125" style="204" customWidth="1"/>
    <col min="13568" max="13568" width="1.7265625" style="204" customWidth="1"/>
    <col min="13569" max="13570" width="8.26953125" style="204" customWidth="1"/>
    <col min="13571" max="13817" width="7.08984375" style="204"/>
    <col min="13818" max="13818" width="10.26953125" style="204" customWidth="1"/>
    <col min="13819" max="13819" width="3.54296875" style="204" customWidth="1"/>
    <col min="13820" max="13821" width="1.7265625" style="204" customWidth="1"/>
    <col min="13822" max="13822" width="4" style="204" customWidth="1"/>
    <col min="13823" max="13823" width="24.26953125" style="204" customWidth="1"/>
    <col min="13824" max="13824" width="1.7265625" style="204" customWidth="1"/>
    <col min="13825" max="13826" width="8.26953125" style="204" customWidth="1"/>
    <col min="13827" max="14073" width="7.08984375" style="204"/>
    <col min="14074" max="14074" width="10.26953125" style="204" customWidth="1"/>
    <col min="14075" max="14075" width="3.54296875" style="204" customWidth="1"/>
    <col min="14076" max="14077" width="1.7265625" style="204" customWidth="1"/>
    <col min="14078" max="14078" width="4" style="204" customWidth="1"/>
    <col min="14079" max="14079" width="24.26953125" style="204" customWidth="1"/>
    <col min="14080" max="14080" width="1.7265625" style="204" customWidth="1"/>
    <col min="14081" max="14082" width="8.26953125" style="204" customWidth="1"/>
    <col min="14083" max="14329" width="7.08984375" style="204"/>
    <col min="14330" max="14330" width="10.26953125" style="204" customWidth="1"/>
    <col min="14331" max="14331" width="3.54296875" style="204" customWidth="1"/>
    <col min="14332" max="14333" width="1.7265625" style="204" customWidth="1"/>
    <col min="14334" max="14334" width="4" style="204" customWidth="1"/>
    <col min="14335" max="14335" width="24.26953125" style="204" customWidth="1"/>
    <col min="14336" max="14336" width="1.7265625" style="204" customWidth="1"/>
    <col min="14337" max="14338" width="8.26953125" style="204" customWidth="1"/>
    <col min="14339" max="14585" width="7.08984375" style="204"/>
    <col min="14586" max="14586" width="10.26953125" style="204" customWidth="1"/>
    <col min="14587" max="14587" width="3.54296875" style="204" customWidth="1"/>
    <col min="14588" max="14589" width="1.7265625" style="204" customWidth="1"/>
    <col min="14590" max="14590" width="4" style="204" customWidth="1"/>
    <col min="14591" max="14591" width="24.26953125" style="204" customWidth="1"/>
    <col min="14592" max="14592" width="1.7265625" style="204" customWidth="1"/>
    <col min="14593" max="14594" width="8.26953125" style="204" customWidth="1"/>
    <col min="14595" max="14841" width="7.08984375" style="204"/>
    <col min="14842" max="14842" width="10.26953125" style="204" customWidth="1"/>
    <col min="14843" max="14843" width="3.54296875" style="204" customWidth="1"/>
    <col min="14844" max="14845" width="1.7265625" style="204" customWidth="1"/>
    <col min="14846" max="14846" width="4" style="204" customWidth="1"/>
    <col min="14847" max="14847" width="24.26953125" style="204" customWidth="1"/>
    <col min="14848" max="14848" width="1.7265625" style="204" customWidth="1"/>
    <col min="14849" max="14850" width="8.26953125" style="204" customWidth="1"/>
    <col min="14851" max="15097" width="7.08984375" style="204"/>
    <col min="15098" max="15098" width="10.26953125" style="204" customWidth="1"/>
    <col min="15099" max="15099" width="3.54296875" style="204" customWidth="1"/>
    <col min="15100" max="15101" width="1.7265625" style="204" customWidth="1"/>
    <col min="15102" max="15102" width="4" style="204" customWidth="1"/>
    <col min="15103" max="15103" width="24.26953125" style="204" customWidth="1"/>
    <col min="15104" max="15104" width="1.7265625" style="204" customWidth="1"/>
    <col min="15105" max="15106" width="8.26953125" style="204" customWidth="1"/>
    <col min="15107" max="15353" width="7.08984375" style="204"/>
    <col min="15354" max="15354" width="10.26953125" style="204" customWidth="1"/>
    <col min="15355" max="15355" width="3.54296875" style="204" customWidth="1"/>
    <col min="15356" max="15357" width="1.7265625" style="204" customWidth="1"/>
    <col min="15358" max="15358" width="4" style="204" customWidth="1"/>
    <col min="15359" max="15359" width="24.26953125" style="204" customWidth="1"/>
    <col min="15360" max="15360" width="1.7265625" style="204" customWidth="1"/>
    <col min="15361" max="15362" width="8.26953125" style="204" customWidth="1"/>
    <col min="15363" max="15609" width="7.08984375" style="204"/>
    <col min="15610" max="15610" width="10.26953125" style="204" customWidth="1"/>
    <col min="15611" max="15611" width="3.54296875" style="204" customWidth="1"/>
    <col min="15612" max="15613" width="1.7265625" style="204" customWidth="1"/>
    <col min="15614" max="15614" width="4" style="204" customWidth="1"/>
    <col min="15615" max="15615" width="24.26953125" style="204" customWidth="1"/>
    <col min="15616" max="15616" width="1.7265625" style="204" customWidth="1"/>
    <col min="15617" max="15618" width="8.26953125" style="204" customWidth="1"/>
    <col min="15619" max="15865" width="7.08984375" style="204"/>
    <col min="15866" max="15866" width="10.26953125" style="204" customWidth="1"/>
    <col min="15867" max="15867" width="3.54296875" style="204" customWidth="1"/>
    <col min="15868" max="15869" width="1.7265625" style="204" customWidth="1"/>
    <col min="15870" max="15870" width="4" style="204" customWidth="1"/>
    <col min="15871" max="15871" width="24.26953125" style="204" customWidth="1"/>
    <col min="15872" max="15872" width="1.7265625" style="204" customWidth="1"/>
    <col min="15873" max="15874" width="8.26953125" style="204" customWidth="1"/>
    <col min="15875" max="16121" width="7.08984375" style="204"/>
    <col min="16122" max="16122" width="10.26953125" style="204" customWidth="1"/>
    <col min="16123" max="16123" width="3.54296875" style="204" customWidth="1"/>
    <col min="16124" max="16125" width="1.7265625" style="204" customWidth="1"/>
    <col min="16126" max="16126" width="4" style="204" customWidth="1"/>
    <col min="16127" max="16127" width="24.26953125" style="204" customWidth="1"/>
    <col min="16128" max="16128" width="1.7265625" style="204" customWidth="1"/>
    <col min="16129" max="16130" width="8.26953125" style="204" customWidth="1"/>
    <col min="16131" max="16384" width="7.08984375" style="204"/>
  </cols>
  <sheetData>
    <row r="1" spans="1:8" ht="14.25" customHeight="1">
      <c r="A1" s="784" t="s">
        <v>1037</v>
      </c>
      <c r="B1" s="784"/>
      <c r="C1" s="784"/>
      <c r="D1" s="784"/>
      <c r="E1" s="784"/>
      <c r="F1" s="784"/>
      <c r="G1" s="784"/>
      <c r="H1" s="784"/>
    </row>
    <row r="2" spans="1:8">
      <c r="A2" s="784" t="s">
        <v>979</v>
      </c>
      <c r="B2" s="784"/>
      <c r="C2" s="784"/>
      <c r="D2" s="784"/>
      <c r="E2" s="784"/>
      <c r="F2" s="784"/>
      <c r="G2" s="784"/>
      <c r="H2" s="784"/>
    </row>
    <row r="3" spans="1:8">
      <c r="A3" s="785" t="str">
        <f>'Act Att-H'!C7</f>
        <v>Cheyenne Light, Fuel &amp; Power</v>
      </c>
      <c r="B3" s="785"/>
      <c r="C3" s="785"/>
      <c r="D3" s="785"/>
      <c r="E3" s="785"/>
      <c r="F3" s="785"/>
      <c r="G3" s="785"/>
      <c r="H3" s="785"/>
    </row>
    <row r="4" spans="1:8">
      <c r="F4" s="2"/>
      <c r="H4" s="205" t="s">
        <v>673</v>
      </c>
    </row>
    <row r="5" spans="1:8">
      <c r="A5" s="216"/>
      <c r="B5" s="216"/>
      <c r="C5" s="216"/>
      <c r="D5" s="216"/>
      <c r="E5" s="216"/>
      <c r="F5" s="216"/>
      <c r="G5" s="216"/>
      <c r="H5" s="216"/>
    </row>
    <row r="6" spans="1:8" ht="60.75" customHeight="1">
      <c r="B6" s="127" t="s">
        <v>4</v>
      </c>
      <c r="C6" s="127" t="s">
        <v>1075</v>
      </c>
      <c r="D6" s="127" t="s">
        <v>191</v>
      </c>
      <c r="E6" s="229" t="s">
        <v>1101</v>
      </c>
      <c r="F6" s="229" t="s">
        <v>10</v>
      </c>
      <c r="G6" s="229" t="s">
        <v>1043</v>
      </c>
      <c r="H6" s="229" t="s">
        <v>1044</v>
      </c>
    </row>
    <row r="7" spans="1:8" ht="15" customHeight="1">
      <c r="B7" s="225"/>
      <c r="C7" s="230" t="s">
        <v>157</v>
      </c>
      <c r="D7" s="231" t="s">
        <v>158</v>
      </c>
      <c r="E7" s="231" t="s">
        <v>159</v>
      </c>
      <c r="F7" s="231" t="s">
        <v>160</v>
      </c>
      <c r="G7" s="231" t="s">
        <v>161</v>
      </c>
      <c r="H7" s="231" t="s">
        <v>162</v>
      </c>
    </row>
    <row r="8" spans="1:8">
      <c r="B8" s="206">
        <v>1</v>
      </c>
      <c r="C8" s="419" t="s">
        <v>1045</v>
      </c>
      <c r="D8" s="204" t="s">
        <v>1045</v>
      </c>
      <c r="E8" s="665">
        <v>43997.59</v>
      </c>
      <c r="F8" s="679" t="s">
        <v>11</v>
      </c>
      <c r="G8" s="680">
        <f>'Act Att-H'!$I$174</f>
        <v>0.94993800079121415</v>
      </c>
      <c r="H8" s="672">
        <f t="shared" ref="H8:H32" si="0">G8*E8</f>
        <v>41794.982684231516</v>
      </c>
    </row>
    <row r="9" spans="1:8" ht="15" customHeight="1">
      <c r="B9" s="206">
        <v>2</v>
      </c>
      <c r="C9" s="419" t="s">
        <v>1120</v>
      </c>
      <c r="D9" s="204" t="s">
        <v>1122</v>
      </c>
      <c r="E9" s="670">
        <v>56122.283461538449</v>
      </c>
      <c r="F9" s="679" t="s">
        <v>11</v>
      </c>
      <c r="G9" s="680">
        <f>'Act Att-H'!$I$174</f>
        <v>0.94993800079121415</v>
      </c>
      <c r="H9" s="673">
        <f t="shared" si="0"/>
        <v>53312.689751291655</v>
      </c>
    </row>
    <row r="10" spans="1:8" ht="15" customHeight="1">
      <c r="B10" s="206">
        <v>3</v>
      </c>
      <c r="C10" s="419" t="s">
        <v>1046</v>
      </c>
      <c r="D10" s="204" t="s">
        <v>1053</v>
      </c>
      <c r="E10" s="670">
        <v>4782.3965384615385</v>
      </c>
      <c r="F10" s="679" t="s">
        <v>100</v>
      </c>
      <c r="G10" s="680">
        <f>'Act Att-H'!$I$191</f>
        <v>7.0964263854582682E-2</v>
      </c>
      <c r="H10" s="673">
        <f t="shared" si="0"/>
        <v>339.37924981262751</v>
      </c>
    </row>
    <row r="11" spans="1:8" ht="15" customHeight="1">
      <c r="B11" s="206">
        <v>4</v>
      </c>
      <c r="C11" s="419" t="s">
        <v>1121</v>
      </c>
      <c r="D11" s="204" t="s">
        <v>1123</v>
      </c>
      <c r="E11" s="670">
        <v>3238.0284615384617</v>
      </c>
      <c r="F11" s="679" t="s">
        <v>100</v>
      </c>
      <c r="G11" s="680">
        <f>'Act Att-H'!$I$191</f>
        <v>7.0964263854582682E-2</v>
      </c>
      <c r="H11" s="673">
        <f t="shared" si="0"/>
        <v>229.78430611326382</v>
      </c>
    </row>
    <row r="12" spans="1:8" ht="15" customHeight="1">
      <c r="B12" s="206">
        <v>5</v>
      </c>
      <c r="C12" s="419" t="s">
        <v>1047</v>
      </c>
      <c r="D12" s="204" t="s">
        <v>1054</v>
      </c>
      <c r="E12" s="670">
        <v>2716.5819999999999</v>
      </c>
      <c r="F12" s="679" t="s">
        <v>100</v>
      </c>
      <c r="G12" s="680">
        <f>'Act Att-H'!$I$191</f>
        <v>7.0964263854582682E-2</v>
      </c>
      <c r="H12" s="673">
        <f t="shared" ref="H12:H22" si="1">G12*E12</f>
        <v>192.78024183060992</v>
      </c>
    </row>
    <row r="13" spans="1:8" ht="15" customHeight="1">
      <c r="B13" s="206">
        <v>6</v>
      </c>
      <c r="C13" s="419" t="s">
        <v>1048</v>
      </c>
      <c r="D13" s="204" t="s">
        <v>1055</v>
      </c>
      <c r="E13" s="670">
        <v>1914.3426153846156</v>
      </c>
      <c r="F13" s="679" t="s">
        <v>27</v>
      </c>
      <c r="G13" s="680">
        <v>0</v>
      </c>
      <c r="H13" s="673">
        <f t="shared" si="1"/>
        <v>0</v>
      </c>
    </row>
    <row r="14" spans="1:8" ht="15" customHeight="1">
      <c r="B14" s="206">
        <v>7</v>
      </c>
      <c r="C14" s="419" t="s">
        <v>1049</v>
      </c>
      <c r="D14" s="204" t="s">
        <v>1056</v>
      </c>
      <c r="E14" s="670">
        <v>117754.77050769229</v>
      </c>
      <c r="F14" s="679" t="s">
        <v>27</v>
      </c>
      <c r="G14" s="680">
        <v>0</v>
      </c>
      <c r="H14" s="673">
        <f t="shared" si="1"/>
        <v>0</v>
      </c>
    </row>
    <row r="15" spans="1:8" ht="15" customHeight="1">
      <c r="B15" s="206">
        <v>8</v>
      </c>
      <c r="C15" s="419" t="s">
        <v>1050</v>
      </c>
      <c r="D15" s="204" t="s">
        <v>1057</v>
      </c>
      <c r="E15" s="670">
        <v>159061.78564615388</v>
      </c>
      <c r="F15" s="679" t="s">
        <v>100</v>
      </c>
      <c r="G15" s="680">
        <f>'Act Att-H'!$I$191</f>
        <v>7.0964263854582682E-2</v>
      </c>
      <c r="H15" s="673">
        <f t="shared" si="1"/>
        <v>11287.702525774735</v>
      </c>
    </row>
    <row r="16" spans="1:8" ht="15" customHeight="1">
      <c r="B16" s="206">
        <v>9</v>
      </c>
      <c r="C16" s="419" t="s">
        <v>1051</v>
      </c>
      <c r="D16" s="204" t="s">
        <v>1058</v>
      </c>
      <c r="E16" s="670">
        <v>0</v>
      </c>
      <c r="F16" s="679" t="s">
        <v>100</v>
      </c>
      <c r="G16" s="680">
        <f>'Act Att-H'!$I$191</f>
        <v>7.0964263854582682E-2</v>
      </c>
      <c r="H16" s="673">
        <f t="shared" si="1"/>
        <v>0</v>
      </c>
    </row>
    <row r="17" spans="2:10">
      <c r="B17" s="206">
        <v>10</v>
      </c>
      <c r="C17" s="419" t="s">
        <v>1052</v>
      </c>
      <c r="D17" s="204" t="s">
        <v>1059</v>
      </c>
      <c r="E17" s="670">
        <v>692434.4615384615</v>
      </c>
      <c r="F17" s="679" t="s">
        <v>27</v>
      </c>
      <c r="G17" s="680">
        <v>0</v>
      </c>
      <c r="H17" s="673">
        <f t="shared" si="1"/>
        <v>0</v>
      </c>
    </row>
    <row r="18" spans="2:10">
      <c r="B18" s="206">
        <v>11</v>
      </c>
      <c r="C18" s="664" t="s">
        <v>1226</v>
      </c>
      <c r="D18" s="666" t="s">
        <v>1227</v>
      </c>
      <c r="E18" s="670">
        <v>25409.320769230773</v>
      </c>
      <c r="F18" s="669" t="s">
        <v>27</v>
      </c>
      <c r="G18" s="680">
        <f t="shared" ref="G18:G32" si="2">IF(F18=0,0, IF(F18="NA", NA, IF(F18="TP",TP, IF(F18="TE",TE,IF(F18="CE",CE,IF(F18="WS",WS,IF(F18="DA",DA, IF(F18="NP",NP))))))))</f>
        <v>0</v>
      </c>
      <c r="H18" s="673">
        <f t="shared" si="1"/>
        <v>0</v>
      </c>
    </row>
    <row r="19" spans="2:10">
      <c r="B19" s="206">
        <v>12</v>
      </c>
      <c r="C19" s="664" t="s">
        <v>1226</v>
      </c>
      <c r="D19" s="666" t="s">
        <v>1228</v>
      </c>
      <c r="E19" s="670">
        <v>773.74615384615367</v>
      </c>
      <c r="F19" s="669" t="s">
        <v>27</v>
      </c>
      <c r="G19" s="680">
        <f t="shared" si="2"/>
        <v>0</v>
      </c>
      <c r="H19" s="673">
        <f t="shared" si="1"/>
        <v>0</v>
      </c>
    </row>
    <row r="20" spans="2:10">
      <c r="B20" s="206">
        <v>13</v>
      </c>
      <c r="C20" s="664" t="s">
        <v>1226</v>
      </c>
      <c r="D20" s="666" t="s">
        <v>1229</v>
      </c>
      <c r="E20" s="670">
        <v>854.00538461538463</v>
      </c>
      <c r="F20" s="669" t="s">
        <v>27</v>
      </c>
      <c r="G20" s="680">
        <f t="shared" si="2"/>
        <v>0</v>
      </c>
      <c r="H20" s="673">
        <f t="shared" si="1"/>
        <v>0</v>
      </c>
    </row>
    <row r="21" spans="2:10">
      <c r="B21" s="206">
        <v>14</v>
      </c>
      <c r="C21" s="664" t="s">
        <v>1230</v>
      </c>
      <c r="D21" s="666" t="s">
        <v>1231</v>
      </c>
      <c r="E21" s="670">
        <v>9615.3846153846134</v>
      </c>
      <c r="F21" s="669" t="s">
        <v>27</v>
      </c>
      <c r="G21" s="680">
        <f t="shared" si="2"/>
        <v>0</v>
      </c>
      <c r="H21" s="673">
        <f t="shared" si="1"/>
        <v>0</v>
      </c>
    </row>
    <row r="22" spans="2:10">
      <c r="B22" s="206">
        <v>15</v>
      </c>
      <c r="C22" s="664" t="s">
        <v>1238</v>
      </c>
      <c r="D22" s="666" t="s">
        <v>1240</v>
      </c>
      <c r="E22" s="670">
        <v>89245.538461538468</v>
      </c>
      <c r="F22" s="669" t="s">
        <v>27</v>
      </c>
      <c r="G22" s="680">
        <f t="shared" si="2"/>
        <v>0</v>
      </c>
      <c r="H22" s="673">
        <f t="shared" si="1"/>
        <v>0</v>
      </c>
      <c r="J22" s="226"/>
    </row>
    <row r="23" spans="2:10">
      <c r="B23" s="206">
        <v>16</v>
      </c>
      <c r="C23" s="664" t="s">
        <v>1239</v>
      </c>
      <c r="D23" s="666" t="s">
        <v>1241</v>
      </c>
      <c r="E23" s="670">
        <v>2778.7692307692309</v>
      </c>
      <c r="F23" s="669" t="s">
        <v>27</v>
      </c>
      <c r="G23" s="680">
        <f t="shared" si="2"/>
        <v>0</v>
      </c>
      <c r="H23" s="673">
        <f t="shared" si="0"/>
        <v>0</v>
      </c>
    </row>
    <row r="24" spans="2:10">
      <c r="B24" s="206">
        <v>17</v>
      </c>
      <c r="C24" s="664"/>
      <c r="D24" s="666"/>
      <c r="E24" s="670">
        <v>0</v>
      </c>
      <c r="F24" s="669"/>
      <c r="G24" s="680">
        <f t="shared" si="2"/>
        <v>0</v>
      </c>
      <c r="H24" s="673">
        <f t="shared" si="0"/>
        <v>0</v>
      </c>
    </row>
    <row r="25" spans="2:10">
      <c r="B25" s="206">
        <v>18</v>
      </c>
      <c r="C25" s="664"/>
      <c r="D25" s="666"/>
      <c r="E25" s="670">
        <v>0</v>
      </c>
      <c r="F25" s="669"/>
      <c r="G25" s="680">
        <f t="shared" si="2"/>
        <v>0</v>
      </c>
      <c r="H25" s="673">
        <f t="shared" si="0"/>
        <v>0</v>
      </c>
    </row>
    <row r="26" spans="2:10">
      <c r="B26" s="206">
        <v>19</v>
      </c>
      <c r="C26" s="664"/>
      <c r="D26" s="666"/>
      <c r="E26" s="670">
        <v>0</v>
      </c>
      <c r="F26" s="669"/>
      <c r="G26" s="680">
        <f t="shared" si="2"/>
        <v>0</v>
      </c>
      <c r="H26" s="673">
        <f t="shared" si="0"/>
        <v>0</v>
      </c>
    </row>
    <row r="27" spans="2:10">
      <c r="B27" s="206">
        <v>20</v>
      </c>
      <c r="C27" s="664"/>
      <c r="D27" s="666"/>
      <c r="E27" s="670">
        <v>0</v>
      </c>
      <c r="F27" s="669"/>
      <c r="G27" s="680">
        <f t="shared" si="2"/>
        <v>0</v>
      </c>
      <c r="H27" s="673">
        <f t="shared" si="0"/>
        <v>0</v>
      </c>
      <c r="J27" s="226"/>
    </row>
    <row r="28" spans="2:10">
      <c r="B28" s="206">
        <v>21</v>
      </c>
      <c r="C28" s="664"/>
      <c r="D28" s="666"/>
      <c r="E28" s="670">
        <v>0</v>
      </c>
      <c r="F28" s="669"/>
      <c r="G28" s="680">
        <f t="shared" si="2"/>
        <v>0</v>
      </c>
      <c r="H28" s="673">
        <f t="shared" si="0"/>
        <v>0</v>
      </c>
      <c r="I28" s="226"/>
    </row>
    <row r="29" spans="2:10">
      <c r="B29" s="206">
        <v>22</v>
      </c>
      <c r="C29" s="664"/>
      <c r="D29" s="666"/>
      <c r="E29" s="670">
        <v>0</v>
      </c>
      <c r="F29" s="669"/>
      <c r="G29" s="680">
        <f t="shared" si="2"/>
        <v>0</v>
      </c>
      <c r="H29" s="673">
        <f t="shared" si="0"/>
        <v>0</v>
      </c>
      <c r="I29" s="226"/>
    </row>
    <row r="30" spans="2:10">
      <c r="B30" s="206">
        <v>23</v>
      </c>
      <c r="C30" s="664"/>
      <c r="D30" s="666"/>
      <c r="E30" s="670">
        <v>0</v>
      </c>
      <c r="F30" s="669"/>
      <c r="G30" s="680">
        <f t="shared" si="2"/>
        <v>0</v>
      </c>
      <c r="H30" s="673">
        <f t="shared" si="0"/>
        <v>0</v>
      </c>
      <c r="I30" s="226"/>
    </row>
    <row r="31" spans="2:10">
      <c r="B31" s="206">
        <v>24</v>
      </c>
      <c r="C31" s="664"/>
      <c r="D31" s="666"/>
      <c r="E31" s="670">
        <v>0</v>
      </c>
      <c r="F31" s="669"/>
      <c r="G31" s="680">
        <f t="shared" si="2"/>
        <v>0</v>
      </c>
      <c r="H31" s="673">
        <f t="shared" si="0"/>
        <v>0</v>
      </c>
      <c r="I31" s="226"/>
    </row>
    <row r="32" spans="2:10">
      <c r="B32" s="206">
        <v>25</v>
      </c>
      <c r="C32" s="664"/>
      <c r="D32" s="666"/>
      <c r="E32" s="670">
        <v>0</v>
      </c>
      <c r="F32" s="669"/>
      <c r="G32" s="680">
        <f t="shared" si="2"/>
        <v>0</v>
      </c>
      <c r="H32" s="673">
        <f t="shared" si="0"/>
        <v>0</v>
      </c>
      <c r="I32" s="226"/>
    </row>
    <row r="33" spans="2:9">
      <c r="B33" s="206">
        <v>26</v>
      </c>
      <c r="C33" s="309" t="s">
        <v>9</v>
      </c>
      <c r="D33" s="309" t="s">
        <v>636</v>
      </c>
      <c r="E33" s="435">
        <f>SUM(E8:E32)</f>
        <v>1210699.0053846154</v>
      </c>
      <c r="F33" s="667"/>
      <c r="G33" s="671"/>
      <c r="H33" s="668">
        <f>SUM(H8:H32)</f>
        <v>107157.3187590544</v>
      </c>
      <c r="I33" s="226"/>
    </row>
    <row r="34" spans="2:9">
      <c r="B34" s="206">
        <v>27</v>
      </c>
      <c r="C34" s="204" t="s">
        <v>1108</v>
      </c>
      <c r="D34" s="755"/>
      <c r="E34" s="220">
        <f>'A4-Rate Base'!I70</f>
        <v>1210699.3076923077</v>
      </c>
      <c r="F34" s="690"/>
      <c r="G34" s="690"/>
      <c r="H34" s="690"/>
      <c r="I34" s="226"/>
    </row>
    <row r="35" spans="2:9">
      <c r="B35" s="206">
        <v>28</v>
      </c>
      <c r="C35" s="204" t="s">
        <v>1109</v>
      </c>
      <c r="D35" s="755"/>
      <c r="E35" s="435">
        <f>E34-E33</f>
        <v>0.30230769235640764</v>
      </c>
      <c r="F35" s="690"/>
      <c r="G35" s="690"/>
      <c r="H35" s="690"/>
      <c r="I35" s="226"/>
    </row>
    <row r="36" spans="2:9">
      <c r="B36" s="206"/>
      <c r="H36" s="226"/>
    </row>
    <row r="37" spans="2:9">
      <c r="B37" s="206"/>
      <c r="H37" s="226"/>
    </row>
    <row r="38" spans="2:9">
      <c r="B38" s="381" t="s">
        <v>174</v>
      </c>
      <c r="H38" s="226"/>
    </row>
    <row r="39" spans="2:9">
      <c r="B39" s="206" t="s">
        <v>79</v>
      </c>
      <c r="C39" s="204" t="s">
        <v>1060</v>
      </c>
      <c r="H39" s="226"/>
    </row>
    <row r="40" spans="2:9" ht="147" customHeight="1">
      <c r="B40" s="421" t="s">
        <v>80</v>
      </c>
      <c r="C40" s="796" t="s">
        <v>1173</v>
      </c>
      <c r="D40" s="796"/>
      <c r="E40" s="796"/>
      <c r="F40" s="796"/>
      <c r="G40" s="796"/>
      <c r="H40" s="796"/>
    </row>
    <row r="41" spans="2:9" ht="26.25" customHeight="1">
      <c r="B41" s="421" t="s">
        <v>81</v>
      </c>
      <c r="C41" s="796" t="s">
        <v>1110</v>
      </c>
      <c r="D41" s="796"/>
      <c r="E41" s="796"/>
      <c r="F41" s="796"/>
      <c r="G41" s="796"/>
      <c r="H41" s="796"/>
    </row>
    <row r="42" spans="2:9">
      <c r="B42" s="206"/>
    </row>
    <row r="43" spans="2:9">
      <c r="B43" s="206"/>
      <c r="C43" s="594"/>
    </row>
  </sheetData>
  <mergeCells count="5">
    <mergeCell ref="C41:H41"/>
    <mergeCell ref="A1:H1"/>
    <mergeCell ref="A2:H2"/>
    <mergeCell ref="A3:H3"/>
    <mergeCell ref="C40:H40"/>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H23"/>
  <sheetViews>
    <sheetView topLeftCell="B1" workbookViewId="0">
      <selection activeCell="B22" sqref="B22"/>
    </sheetView>
  </sheetViews>
  <sheetFormatPr defaultColWidth="7.08984375" defaultRowHeight="13.2"/>
  <cols>
    <col min="1" max="1" width="2.08984375" style="204" customWidth="1"/>
    <col min="2" max="2" width="4.7265625" style="204" customWidth="1"/>
    <col min="3" max="3" width="27.7265625" style="204" customWidth="1"/>
    <col min="4" max="5" width="8.26953125" style="204" bestFit="1" customWidth="1"/>
    <col min="6" max="6" width="7.7265625" style="204" customWidth="1"/>
    <col min="7" max="7" width="7" style="204" customWidth="1"/>
    <col min="8" max="8" width="9.26953125" style="215" customWidth="1"/>
    <col min="9" max="9" width="8.26953125" style="204" customWidth="1"/>
    <col min="10" max="249" width="7.08984375" style="204"/>
    <col min="250" max="250" width="10.26953125" style="204" customWidth="1"/>
    <col min="251" max="251" width="3.54296875" style="204" customWidth="1"/>
    <col min="252" max="253" width="1.7265625" style="204" customWidth="1"/>
    <col min="254" max="254" width="4" style="204" customWidth="1"/>
    <col min="255" max="255" width="24.26953125" style="204" customWidth="1"/>
    <col min="256" max="256" width="1.7265625" style="204" customWidth="1"/>
    <col min="257" max="258" width="8.26953125" style="204" customWidth="1"/>
    <col min="259" max="505" width="7.08984375" style="204"/>
    <col min="506" max="506" width="10.26953125" style="204" customWidth="1"/>
    <col min="507" max="507" width="3.54296875" style="204" customWidth="1"/>
    <col min="508" max="509" width="1.7265625" style="204" customWidth="1"/>
    <col min="510" max="510" width="4" style="204" customWidth="1"/>
    <col min="511" max="511" width="24.26953125" style="204" customWidth="1"/>
    <col min="512" max="512" width="1.7265625" style="204" customWidth="1"/>
    <col min="513" max="514" width="8.26953125" style="204" customWidth="1"/>
    <col min="515" max="761" width="7.08984375" style="204"/>
    <col min="762" max="762" width="10.26953125" style="204" customWidth="1"/>
    <col min="763" max="763" width="3.54296875" style="204" customWidth="1"/>
    <col min="764" max="765" width="1.7265625" style="204" customWidth="1"/>
    <col min="766" max="766" width="4" style="204" customWidth="1"/>
    <col min="767" max="767" width="24.26953125" style="204" customWidth="1"/>
    <col min="768" max="768" width="1.7265625" style="204" customWidth="1"/>
    <col min="769" max="770" width="8.26953125" style="204" customWidth="1"/>
    <col min="771" max="1017" width="7.08984375" style="204"/>
    <col min="1018" max="1018" width="10.26953125" style="204" customWidth="1"/>
    <col min="1019" max="1019" width="3.54296875" style="204" customWidth="1"/>
    <col min="1020" max="1021" width="1.7265625" style="204" customWidth="1"/>
    <col min="1022" max="1022" width="4" style="204" customWidth="1"/>
    <col min="1023" max="1023" width="24.26953125" style="204" customWidth="1"/>
    <col min="1024" max="1024" width="1.7265625" style="204" customWidth="1"/>
    <col min="1025" max="1026" width="8.26953125" style="204" customWidth="1"/>
    <col min="1027" max="1273" width="7.08984375" style="204"/>
    <col min="1274" max="1274" width="10.26953125" style="204" customWidth="1"/>
    <col min="1275" max="1275" width="3.54296875" style="204" customWidth="1"/>
    <col min="1276" max="1277" width="1.7265625" style="204" customWidth="1"/>
    <col min="1278" max="1278" width="4" style="204" customWidth="1"/>
    <col min="1279" max="1279" width="24.26953125" style="204" customWidth="1"/>
    <col min="1280" max="1280" width="1.7265625" style="204" customWidth="1"/>
    <col min="1281" max="1282" width="8.26953125" style="204" customWidth="1"/>
    <col min="1283" max="1529" width="7.08984375" style="204"/>
    <col min="1530" max="1530" width="10.26953125" style="204" customWidth="1"/>
    <col min="1531" max="1531" width="3.54296875" style="204" customWidth="1"/>
    <col min="1532" max="1533" width="1.7265625" style="204" customWidth="1"/>
    <col min="1534" max="1534" width="4" style="204" customWidth="1"/>
    <col min="1535" max="1535" width="24.26953125" style="204" customWidth="1"/>
    <col min="1536" max="1536" width="1.7265625" style="204" customWidth="1"/>
    <col min="1537" max="1538" width="8.26953125" style="204" customWidth="1"/>
    <col min="1539" max="1785" width="7.08984375" style="204"/>
    <col min="1786" max="1786" width="10.26953125" style="204" customWidth="1"/>
    <col min="1787" max="1787" width="3.54296875" style="204" customWidth="1"/>
    <col min="1788" max="1789" width="1.7265625" style="204" customWidth="1"/>
    <col min="1790" max="1790" width="4" style="204" customWidth="1"/>
    <col min="1791" max="1791" width="24.26953125" style="204" customWidth="1"/>
    <col min="1792" max="1792" width="1.7265625" style="204" customWidth="1"/>
    <col min="1793" max="1794" width="8.26953125" style="204" customWidth="1"/>
    <col min="1795" max="2041" width="7.08984375" style="204"/>
    <col min="2042" max="2042" width="10.26953125" style="204" customWidth="1"/>
    <col min="2043" max="2043" width="3.54296875" style="204" customWidth="1"/>
    <col min="2044" max="2045" width="1.7265625" style="204" customWidth="1"/>
    <col min="2046" max="2046" width="4" style="204" customWidth="1"/>
    <col min="2047" max="2047" width="24.26953125" style="204" customWidth="1"/>
    <col min="2048" max="2048" width="1.7265625" style="204" customWidth="1"/>
    <col min="2049" max="2050" width="8.26953125" style="204" customWidth="1"/>
    <col min="2051" max="2297" width="7.08984375" style="204"/>
    <col min="2298" max="2298" width="10.26953125" style="204" customWidth="1"/>
    <col min="2299" max="2299" width="3.54296875" style="204" customWidth="1"/>
    <col min="2300" max="2301" width="1.7265625" style="204" customWidth="1"/>
    <col min="2302" max="2302" width="4" style="204" customWidth="1"/>
    <col min="2303" max="2303" width="24.26953125" style="204" customWidth="1"/>
    <col min="2304" max="2304" width="1.7265625" style="204" customWidth="1"/>
    <col min="2305" max="2306" width="8.26953125" style="204" customWidth="1"/>
    <col min="2307" max="2553" width="7.08984375" style="204"/>
    <col min="2554" max="2554" width="10.26953125" style="204" customWidth="1"/>
    <col min="2555" max="2555" width="3.54296875" style="204" customWidth="1"/>
    <col min="2556" max="2557" width="1.7265625" style="204" customWidth="1"/>
    <col min="2558" max="2558" width="4" style="204" customWidth="1"/>
    <col min="2559" max="2559" width="24.26953125" style="204" customWidth="1"/>
    <col min="2560" max="2560" width="1.7265625" style="204" customWidth="1"/>
    <col min="2561" max="2562" width="8.26953125" style="204" customWidth="1"/>
    <col min="2563" max="2809" width="7.08984375" style="204"/>
    <col min="2810" max="2810" width="10.26953125" style="204" customWidth="1"/>
    <col min="2811" max="2811" width="3.54296875" style="204" customWidth="1"/>
    <col min="2812" max="2813" width="1.7265625" style="204" customWidth="1"/>
    <col min="2814" max="2814" width="4" style="204" customWidth="1"/>
    <col min="2815" max="2815" width="24.26953125" style="204" customWidth="1"/>
    <col min="2816" max="2816" width="1.7265625" style="204" customWidth="1"/>
    <col min="2817" max="2818" width="8.26953125" style="204" customWidth="1"/>
    <col min="2819" max="3065" width="7.08984375" style="204"/>
    <col min="3066" max="3066" width="10.26953125" style="204" customWidth="1"/>
    <col min="3067" max="3067" width="3.54296875" style="204" customWidth="1"/>
    <col min="3068" max="3069" width="1.7265625" style="204" customWidth="1"/>
    <col min="3070" max="3070" width="4" style="204" customWidth="1"/>
    <col min="3071" max="3071" width="24.26953125" style="204" customWidth="1"/>
    <col min="3072" max="3072" width="1.7265625" style="204" customWidth="1"/>
    <col min="3073" max="3074" width="8.26953125" style="204" customWidth="1"/>
    <col min="3075" max="3321" width="7.08984375" style="204"/>
    <col min="3322" max="3322" width="10.26953125" style="204" customWidth="1"/>
    <col min="3323" max="3323" width="3.54296875" style="204" customWidth="1"/>
    <col min="3324" max="3325" width="1.7265625" style="204" customWidth="1"/>
    <col min="3326" max="3326" width="4" style="204" customWidth="1"/>
    <col min="3327" max="3327" width="24.26953125" style="204" customWidth="1"/>
    <col min="3328" max="3328" width="1.7265625" style="204" customWidth="1"/>
    <col min="3329" max="3330" width="8.26953125" style="204" customWidth="1"/>
    <col min="3331" max="3577" width="7.08984375" style="204"/>
    <col min="3578" max="3578" width="10.26953125" style="204" customWidth="1"/>
    <col min="3579" max="3579" width="3.54296875" style="204" customWidth="1"/>
    <col min="3580" max="3581" width="1.7265625" style="204" customWidth="1"/>
    <col min="3582" max="3582" width="4" style="204" customWidth="1"/>
    <col min="3583" max="3583" width="24.26953125" style="204" customWidth="1"/>
    <col min="3584" max="3584" width="1.7265625" style="204" customWidth="1"/>
    <col min="3585" max="3586" width="8.26953125" style="204" customWidth="1"/>
    <col min="3587" max="3833" width="7.08984375" style="204"/>
    <col min="3834" max="3834" width="10.26953125" style="204" customWidth="1"/>
    <col min="3835" max="3835" width="3.54296875" style="204" customWidth="1"/>
    <col min="3836" max="3837" width="1.7265625" style="204" customWidth="1"/>
    <col min="3838" max="3838" width="4" style="204" customWidth="1"/>
    <col min="3839" max="3839" width="24.26953125" style="204" customWidth="1"/>
    <col min="3840" max="3840" width="1.7265625" style="204" customWidth="1"/>
    <col min="3841" max="3842" width="8.26953125" style="204" customWidth="1"/>
    <col min="3843" max="4089" width="7.08984375" style="204"/>
    <col min="4090" max="4090" width="10.26953125" style="204" customWidth="1"/>
    <col min="4091" max="4091" width="3.54296875" style="204" customWidth="1"/>
    <col min="4092" max="4093" width="1.7265625" style="204" customWidth="1"/>
    <col min="4094" max="4094" width="4" style="204" customWidth="1"/>
    <col min="4095" max="4095" width="24.26953125" style="204" customWidth="1"/>
    <col min="4096" max="4096" width="1.7265625" style="204" customWidth="1"/>
    <col min="4097" max="4098" width="8.26953125" style="204" customWidth="1"/>
    <col min="4099" max="4345" width="7.08984375" style="204"/>
    <col min="4346" max="4346" width="10.26953125" style="204" customWidth="1"/>
    <col min="4347" max="4347" width="3.54296875" style="204" customWidth="1"/>
    <col min="4348" max="4349" width="1.7265625" style="204" customWidth="1"/>
    <col min="4350" max="4350" width="4" style="204" customWidth="1"/>
    <col min="4351" max="4351" width="24.26953125" style="204" customWidth="1"/>
    <col min="4352" max="4352" width="1.7265625" style="204" customWidth="1"/>
    <col min="4353" max="4354" width="8.26953125" style="204" customWidth="1"/>
    <col min="4355" max="4601" width="7.08984375" style="204"/>
    <col min="4602" max="4602" width="10.26953125" style="204" customWidth="1"/>
    <col min="4603" max="4603" width="3.54296875" style="204" customWidth="1"/>
    <col min="4604" max="4605" width="1.7265625" style="204" customWidth="1"/>
    <col min="4606" max="4606" width="4" style="204" customWidth="1"/>
    <col min="4607" max="4607" width="24.26953125" style="204" customWidth="1"/>
    <col min="4608" max="4608" width="1.7265625" style="204" customWidth="1"/>
    <col min="4609" max="4610" width="8.26953125" style="204" customWidth="1"/>
    <col min="4611" max="4857" width="7.08984375" style="204"/>
    <col min="4858" max="4858" width="10.26953125" style="204" customWidth="1"/>
    <col min="4859" max="4859" width="3.54296875" style="204" customWidth="1"/>
    <col min="4860" max="4861" width="1.7265625" style="204" customWidth="1"/>
    <col min="4862" max="4862" width="4" style="204" customWidth="1"/>
    <col min="4863" max="4863" width="24.26953125" style="204" customWidth="1"/>
    <col min="4864" max="4864" width="1.7265625" style="204" customWidth="1"/>
    <col min="4865" max="4866" width="8.26953125" style="204" customWidth="1"/>
    <col min="4867" max="5113" width="7.08984375" style="204"/>
    <col min="5114" max="5114" width="10.26953125" style="204" customWidth="1"/>
    <col min="5115" max="5115" width="3.54296875" style="204" customWidth="1"/>
    <col min="5116" max="5117" width="1.7265625" style="204" customWidth="1"/>
    <col min="5118" max="5118" width="4" style="204" customWidth="1"/>
    <col min="5119" max="5119" width="24.26953125" style="204" customWidth="1"/>
    <col min="5120" max="5120" width="1.7265625" style="204" customWidth="1"/>
    <col min="5121" max="5122" width="8.26953125" style="204" customWidth="1"/>
    <col min="5123" max="5369" width="7.08984375" style="204"/>
    <col min="5370" max="5370" width="10.26953125" style="204" customWidth="1"/>
    <col min="5371" max="5371" width="3.54296875" style="204" customWidth="1"/>
    <col min="5372" max="5373" width="1.7265625" style="204" customWidth="1"/>
    <col min="5374" max="5374" width="4" style="204" customWidth="1"/>
    <col min="5375" max="5375" width="24.26953125" style="204" customWidth="1"/>
    <col min="5376" max="5376" width="1.7265625" style="204" customWidth="1"/>
    <col min="5377" max="5378" width="8.26953125" style="204" customWidth="1"/>
    <col min="5379" max="5625" width="7.08984375" style="204"/>
    <col min="5626" max="5626" width="10.26953125" style="204" customWidth="1"/>
    <col min="5627" max="5627" width="3.54296875" style="204" customWidth="1"/>
    <col min="5628" max="5629" width="1.7265625" style="204" customWidth="1"/>
    <col min="5630" max="5630" width="4" style="204" customWidth="1"/>
    <col min="5631" max="5631" width="24.26953125" style="204" customWidth="1"/>
    <col min="5632" max="5632" width="1.7265625" style="204" customWidth="1"/>
    <col min="5633" max="5634" width="8.26953125" style="204" customWidth="1"/>
    <col min="5635" max="5881" width="7.08984375" style="204"/>
    <col min="5882" max="5882" width="10.26953125" style="204" customWidth="1"/>
    <col min="5883" max="5883" width="3.54296875" style="204" customWidth="1"/>
    <col min="5884" max="5885" width="1.7265625" style="204" customWidth="1"/>
    <col min="5886" max="5886" width="4" style="204" customWidth="1"/>
    <col min="5887" max="5887" width="24.26953125" style="204" customWidth="1"/>
    <col min="5888" max="5888" width="1.7265625" style="204" customWidth="1"/>
    <col min="5889" max="5890" width="8.26953125" style="204" customWidth="1"/>
    <col min="5891" max="6137" width="7.08984375" style="204"/>
    <col min="6138" max="6138" width="10.26953125" style="204" customWidth="1"/>
    <col min="6139" max="6139" width="3.54296875" style="204" customWidth="1"/>
    <col min="6140" max="6141" width="1.7265625" style="204" customWidth="1"/>
    <col min="6142" max="6142" width="4" style="204" customWidth="1"/>
    <col min="6143" max="6143" width="24.26953125" style="204" customWidth="1"/>
    <col min="6144" max="6144" width="1.7265625" style="204" customWidth="1"/>
    <col min="6145" max="6146" width="8.26953125" style="204" customWidth="1"/>
    <col min="6147" max="6393" width="7.08984375" style="204"/>
    <col min="6394" max="6394" width="10.26953125" style="204" customWidth="1"/>
    <col min="6395" max="6395" width="3.54296875" style="204" customWidth="1"/>
    <col min="6396" max="6397" width="1.7265625" style="204" customWidth="1"/>
    <col min="6398" max="6398" width="4" style="204" customWidth="1"/>
    <col min="6399" max="6399" width="24.26953125" style="204" customWidth="1"/>
    <col min="6400" max="6400" width="1.7265625" style="204" customWidth="1"/>
    <col min="6401" max="6402" width="8.26953125" style="204" customWidth="1"/>
    <col min="6403" max="6649" width="7.08984375" style="204"/>
    <col min="6650" max="6650" width="10.26953125" style="204" customWidth="1"/>
    <col min="6651" max="6651" width="3.54296875" style="204" customWidth="1"/>
    <col min="6652" max="6653" width="1.7265625" style="204" customWidth="1"/>
    <col min="6654" max="6654" width="4" style="204" customWidth="1"/>
    <col min="6655" max="6655" width="24.26953125" style="204" customWidth="1"/>
    <col min="6656" max="6656" width="1.7265625" style="204" customWidth="1"/>
    <col min="6657" max="6658" width="8.26953125" style="204" customWidth="1"/>
    <col min="6659" max="6905" width="7.08984375" style="204"/>
    <col min="6906" max="6906" width="10.26953125" style="204" customWidth="1"/>
    <col min="6907" max="6907" width="3.54296875" style="204" customWidth="1"/>
    <col min="6908" max="6909" width="1.7265625" style="204" customWidth="1"/>
    <col min="6910" max="6910" width="4" style="204" customWidth="1"/>
    <col min="6911" max="6911" width="24.26953125" style="204" customWidth="1"/>
    <col min="6912" max="6912" width="1.7265625" style="204" customWidth="1"/>
    <col min="6913" max="6914" width="8.26953125" style="204" customWidth="1"/>
    <col min="6915" max="7161" width="7.08984375" style="204"/>
    <col min="7162" max="7162" width="10.26953125" style="204" customWidth="1"/>
    <col min="7163" max="7163" width="3.54296875" style="204" customWidth="1"/>
    <col min="7164" max="7165" width="1.7265625" style="204" customWidth="1"/>
    <col min="7166" max="7166" width="4" style="204" customWidth="1"/>
    <col min="7167" max="7167" width="24.26953125" style="204" customWidth="1"/>
    <col min="7168" max="7168" width="1.7265625" style="204" customWidth="1"/>
    <col min="7169" max="7170" width="8.26953125" style="204" customWidth="1"/>
    <col min="7171" max="7417" width="7.08984375" style="204"/>
    <col min="7418" max="7418" width="10.26953125" style="204" customWidth="1"/>
    <col min="7419" max="7419" width="3.54296875" style="204" customWidth="1"/>
    <col min="7420" max="7421" width="1.7265625" style="204" customWidth="1"/>
    <col min="7422" max="7422" width="4" style="204" customWidth="1"/>
    <col min="7423" max="7423" width="24.26953125" style="204" customWidth="1"/>
    <col min="7424" max="7424" width="1.7265625" style="204" customWidth="1"/>
    <col min="7425" max="7426" width="8.26953125" style="204" customWidth="1"/>
    <col min="7427" max="7673" width="7.08984375" style="204"/>
    <col min="7674" max="7674" width="10.26953125" style="204" customWidth="1"/>
    <col min="7675" max="7675" width="3.54296875" style="204" customWidth="1"/>
    <col min="7676" max="7677" width="1.7265625" style="204" customWidth="1"/>
    <col min="7678" max="7678" width="4" style="204" customWidth="1"/>
    <col min="7679" max="7679" width="24.26953125" style="204" customWidth="1"/>
    <col min="7680" max="7680" width="1.7265625" style="204" customWidth="1"/>
    <col min="7681" max="7682" width="8.26953125" style="204" customWidth="1"/>
    <col min="7683" max="7929" width="7.08984375" style="204"/>
    <col min="7930" max="7930" width="10.26953125" style="204" customWidth="1"/>
    <col min="7931" max="7931" width="3.54296875" style="204" customWidth="1"/>
    <col min="7932" max="7933" width="1.7265625" style="204" customWidth="1"/>
    <col min="7934" max="7934" width="4" style="204" customWidth="1"/>
    <col min="7935" max="7935" width="24.26953125" style="204" customWidth="1"/>
    <col min="7936" max="7936" width="1.7265625" style="204" customWidth="1"/>
    <col min="7937" max="7938" width="8.26953125" style="204" customWidth="1"/>
    <col min="7939" max="8185" width="7.08984375" style="204"/>
    <col min="8186" max="8186" width="10.26953125" style="204" customWidth="1"/>
    <col min="8187" max="8187" width="3.54296875" style="204" customWidth="1"/>
    <col min="8188" max="8189" width="1.7265625" style="204" customWidth="1"/>
    <col min="8190" max="8190" width="4" style="204" customWidth="1"/>
    <col min="8191" max="8191" width="24.26953125" style="204" customWidth="1"/>
    <col min="8192" max="8192" width="1.7265625" style="204" customWidth="1"/>
    <col min="8193" max="8194" width="8.26953125" style="204" customWidth="1"/>
    <col min="8195" max="8441" width="7.08984375" style="204"/>
    <col min="8442" max="8442" width="10.26953125" style="204" customWidth="1"/>
    <col min="8443" max="8443" width="3.54296875" style="204" customWidth="1"/>
    <col min="8444" max="8445" width="1.7265625" style="204" customWidth="1"/>
    <col min="8446" max="8446" width="4" style="204" customWidth="1"/>
    <col min="8447" max="8447" width="24.26953125" style="204" customWidth="1"/>
    <col min="8448" max="8448" width="1.7265625" style="204" customWidth="1"/>
    <col min="8449" max="8450" width="8.26953125" style="204" customWidth="1"/>
    <col min="8451" max="8697" width="7.08984375" style="204"/>
    <col min="8698" max="8698" width="10.26953125" style="204" customWidth="1"/>
    <col min="8699" max="8699" width="3.54296875" style="204" customWidth="1"/>
    <col min="8700" max="8701" width="1.7265625" style="204" customWidth="1"/>
    <col min="8702" max="8702" width="4" style="204" customWidth="1"/>
    <col min="8703" max="8703" width="24.26953125" style="204" customWidth="1"/>
    <col min="8704" max="8704" width="1.7265625" style="204" customWidth="1"/>
    <col min="8705" max="8706" width="8.26953125" style="204" customWidth="1"/>
    <col min="8707" max="8953" width="7.08984375" style="204"/>
    <col min="8954" max="8954" width="10.26953125" style="204" customWidth="1"/>
    <col min="8955" max="8955" width="3.54296875" style="204" customWidth="1"/>
    <col min="8956" max="8957" width="1.7265625" style="204" customWidth="1"/>
    <col min="8958" max="8958" width="4" style="204" customWidth="1"/>
    <col min="8959" max="8959" width="24.26953125" style="204" customWidth="1"/>
    <col min="8960" max="8960" width="1.7265625" style="204" customWidth="1"/>
    <col min="8961" max="8962" width="8.26953125" style="204" customWidth="1"/>
    <col min="8963" max="9209" width="7.08984375" style="204"/>
    <col min="9210" max="9210" width="10.26953125" style="204" customWidth="1"/>
    <col min="9211" max="9211" width="3.54296875" style="204" customWidth="1"/>
    <col min="9212" max="9213" width="1.7265625" style="204" customWidth="1"/>
    <col min="9214" max="9214" width="4" style="204" customWidth="1"/>
    <col min="9215" max="9215" width="24.26953125" style="204" customWidth="1"/>
    <col min="9216" max="9216" width="1.7265625" style="204" customWidth="1"/>
    <col min="9217" max="9218" width="8.26953125" style="204" customWidth="1"/>
    <col min="9219" max="9465" width="7.08984375" style="204"/>
    <col min="9466" max="9466" width="10.26953125" style="204" customWidth="1"/>
    <col min="9467" max="9467" width="3.54296875" style="204" customWidth="1"/>
    <col min="9468" max="9469" width="1.7265625" style="204" customWidth="1"/>
    <col min="9470" max="9470" width="4" style="204" customWidth="1"/>
    <col min="9471" max="9471" width="24.26953125" style="204" customWidth="1"/>
    <col min="9472" max="9472" width="1.7265625" style="204" customWidth="1"/>
    <col min="9473" max="9474" width="8.26953125" style="204" customWidth="1"/>
    <col min="9475" max="9721" width="7.08984375" style="204"/>
    <col min="9722" max="9722" width="10.26953125" style="204" customWidth="1"/>
    <col min="9723" max="9723" width="3.54296875" style="204" customWidth="1"/>
    <col min="9724" max="9725" width="1.7265625" style="204" customWidth="1"/>
    <col min="9726" max="9726" width="4" style="204" customWidth="1"/>
    <col min="9727" max="9727" width="24.26953125" style="204" customWidth="1"/>
    <col min="9728" max="9728" width="1.7265625" style="204" customWidth="1"/>
    <col min="9729" max="9730" width="8.26953125" style="204" customWidth="1"/>
    <col min="9731" max="9977" width="7.08984375" style="204"/>
    <col min="9978" max="9978" width="10.26953125" style="204" customWidth="1"/>
    <col min="9979" max="9979" width="3.54296875" style="204" customWidth="1"/>
    <col min="9980" max="9981" width="1.7265625" style="204" customWidth="1"/>
    <col min="9982" max="9982" width="4" style="204" customWidth="1"/>
    <col min="9983" max="9983" width="24.26953125" style="204" customWidth="1"/>
    <col min="9984" max="9984" width="1.7265625" style="204" customWidth="1"/>
    <col min="9985" max="9986" width="8.26953125" style="204" customWidth="1"/>
    <col min="9987" max="10233" width="7.08984375" style="204"/>
    <col min="10234" max="10234" width="10.26953125" style="204" customWidth="1"/>
    <col min="10235" max="10235" width="3.54296875" style="204" customWidth="1"/>
    <col min="10236" max="10237" width="1.7265625" style="204" customWidth="1"/>
    <col min="10238" max="10238" width="4" style="204" customWidth="1"/>
    <col min="10239" max="10239" width="24.26953125" style="204" customWidth="1"/>
    <col min="10240" max="10240" width="1.7265625" style="204" customWidth="1"/>
    <col min="10241" max="10242" width="8.26953125" style="204" customWidth="1"/>
    <col min="10243" max="10489" width="7.08984375" style="204"/>
    <col min="10490" max="10490" width="10.26953125" style="204" customWidth="1"/>
    <col min="10491" max="10491" width="3.54296875" style="204" customWidth="1"/>
    <col min="10492" max="10493" width="1.7265625" style="204" customWidth="1"/>
    <col min="10494" max="10494" width="4" style="204" customWidth="1"/>
    <col min="10495" max="10495" width="24.26953125" style="204" customWidth="1"/>
    <col min="10496" max="10496" width="1.7265625" style="204" customWidth="1"/>
    <col min="10497" max="10498" width="8.26953125" style="204" customWidth="1"/>
    <col min="10499" max="10745" width="7.08984375" style="204"/>
    <col min="10746" max="10746" width="10.26953125" style="204" customWidth="1"/>
    <col min="10747" max="10747" width="3.54296875" style="204" customWidth="1"/>
    <col min="10748" max="10749" width="1.7265625" style="204" customWidth="1"/>
    <col min="10750" max="10750" width="4" style="204" customWidth="1"/>
    <col min="10751" max="10751" width="24.26953125" style="204" customWidth="1"/>
    <col min="10752" max="10752" width="1.7265625" style="204" customWidth="1"/>
    <col min="10753" max="10754" width="8.26953125" style="204" customWidth="1"/>
    <col min="10755" max="11001" width="7.08984375" style="204"/>
    <col min="11002" max="11002" width="10.26953125" style="204" customWidth="1"/>
    <col min="11003" max="11003" width="3.54296875" style="204" customWidth="1"/>
    <col min="11004" max="11005" width="1.7265625" style="204" customWidth="1"/>
    <col min="11006" max="11006" width="4" style="204" customWidth="1"/>
    <col min="11007" max="11007" width="24.26953125" style="204" customWidth="1"/>
    <col min="11008" max="11008" width="1.7265625" style="204" customWidth="1"/>
    <col min="11009" max="11010" width="8.26953125" style="204" customWidth="1"/>
    <col min="11011" max="11257" width="7.08984375" style="204"/>
    <col min="11258" max="11258" width="10.26953125" style="204" customWidth="1"/>
    <col min="11259" max="11259" width="3.54296875" style="204" customWidth="1"/>
    <col min="11260" max="11261" width="1.7265625" style="204" customWidth="1"/>
    <col min="11262" max="11262" width="4" style="204" customWidth="1"/>
    <col min="11263" max="11263" width="24.26953125" style="204" customWidth="1"/>
    <col min="11264" max="11264" width="1.7265625" style="204" customWidth="1"/>
    <col min="11265" max="11266" width="8.26953125" style="204" customWidth="1"/>
    <col min="11267" max="11513" width="7.08984375" style="204"/>
    <col min="11514" max="11514" width="10.26953125" style="204" customWidth="1"/>
    <col min="11515" max="11515" width="3.54296875" style="204" customWidth="1"/>
    <col min="11516" max="11517" width="1.7265625" style="204" customWidth="1"/>
    <col min="11518" max="11518" width="4" style="204" customWidth="1"/>
    <col min="11519" max="11519" width="24.26953125" style="204" customWidth="1"/>
    <col min="11520" max="11520" width="1.7265625" style="204" customWidth="1"/>
    <col min="11521" max="11522" width="8.26953125" style="204" customWidth="1"/>
    <col min="11523" max="11769" width="7.08984375" style="204"/>
    <col min="11770" max="11770" width="10.26953125" style="204" customWidth="1"/>
    <col min="11771" max="11771" width="3.54296875" style="204" customWidth="1"/>
    <col min="11772" max="11773" width="1.7265625" style="204" customWidth="1"/>
    <col min="11774" max="11774" width="4" style="204" customWidth="1"/>
    <col min="11775" max="11775" width="24.26953125" style="204" customWidth="1"/>
    <col min="11776" max="11776" width="1.7265625" style="204" customWidth="1"/>
    <col min="11777" max="11778" width="8.26953125" style="204" customWidth="1"/>
    <col min="11779" max="12025" width="7.08984375" style="204"/>
    <col min="12026" max="12026" width="10.26953125" style="204" customWidth="1"/>
    <col min="12027" max="12027" width="3.54296875" style="204" customWidth="1"/>
    <col min="12028" max="12029" width="1.7265625" style="204" customWidth="1"/>
    <col min="12030" max="12030" width="4" style="204" customWidth="1"/>
    <col min="12031" max="12031" width="24.26953125" style="204" customWidth="1"/>
    <col min="12032" max="12032" width="1.7265625" style="204" customWidth="1"/>
    <col min="12033" max="12034" width="8.26953125" style="204" customWidth="1"/>
    <col min="12035" max="12281" width="7.08984375" style="204"/>
    <col min="12282" max="12282" width="10.26953125" style="204" customWidth="1"/>
    <col min="12283" max="12283" width="3.54296875" style="204" customWidth="1"/>
    <col min="12284" max="12285" width="1.7265625" style="204" customWidth="1"/>
    <col min="12286" max="12286" width="4" style="204" customWidth="1"/>
    <col min="12287" max="12287" width="24.26953125" style="204" customWidth="1"/>
    <col min="12288" max="12288" width="1.7265625" style="204" customWidth="1"/>
    <col min="12289" max="12290" width="8.26953125" style="204" customWidth="1"/>
    <col min="12291" max="12537" width="7.08984375" style="204"/>
    <col min="12538" max="12538" width="10.26953125" style="204" customWidth="1"/>
    <col min="12539" max="12539" width="3.54296875" style="204" customWidth="1"/>
    <col min="12540" max="12541" width="1.7265625" style="204" customWidth="1"/>
    <col min="12542" max="12542" width="4" style="204" customWidth="1"/>
    <col min="12543" max="12543" width="24.26953125" style="204" customWidth="1"/>
    <col min="12544" max="12544" width="1.7265625" style="204" customWidth="1"/>
    <col min="12545" max="12546" width="8.26953125" style="204" customWidth="1"/>
    <col min="12547" max="12793" width="7.08984375" style="204"/>
    <col min="12794" max="12794" width="10.26953125" style="204" customWidth="1"/>
    <col min="12795" max="12795" width="3.54296875" style="204" customWidth="1"/>
    <col min="12796" max="12797" width="1.7265625" style="204" customWidth="1"/>
    <col min="12798" max="12798" width="4" style="204" customWidth="1"/>
    <col min="12799" max="12799" width="24.26953125" style="204" customWidth="1"/>
    <col min="12800" max="12800" width="1.7265625" style="204" customWidth="1"/>
    <col min="12801" max="12802" width="8.26953125" style="204" customWidth="1"/>
    <col min="12803" max="13049" width="7.08984375" style="204"/>
    <col min="13050" max="13050" width="10.26953125" style="204" customWidth="1"/>
    <col min="13051" max="13051" width="3.54296875" style="204" customWidth="1"/>
    <col min="13052" max="13053" width="1.7265625" style="204" customWidth="1"/>
    <col min="13054" max="13054" width="4" style="204" customWidth="1"/>
    <col min="13055" max="13055" width="24.26953125" style="204" customWidth="1"/>
    <col min="13056" max="13056" width="1.7265625" style="204" customWidth="1"/>
    <col min="13057" max="13058" width="8.26953125" style="204" customWidth="1"/>
    <col min="13059" max="13305" width="7.08984375" style="204"/>
    <col min="13306" max="13306" width="10.26953125" style="204" customWidth="1"/>
    <col min="13307" max="13307" width="3.54296875" style="204" customWidth="1"/>
    <col min="13308" max="13309" width="1.7265625" style="204" customWidth="1"/>
    <col min="13310" max="13310" width="4" style="204" customWidth="1"/>
    <col min="13311" max="13311" width="24.26953125" style="204" customWidth="1"/>
    <col min="13312" max="13312" width="1.7265625" style="204" customWidth="1"/>
    <col min="13313" max="13314" width="8.26953125" style="204" customWidth="1"/>
    <col min="13315" max="13561" width="7.08984375" style="204"/>
    <col min="13562" max="13562" width="10.26953125" style="204" customWidth="1"/>
    <col min="13563" max="13563" width="3.54296875" style="204" customWidth="1"/>
    <col min="13564" max="13565" width="1.7265625" style="204" customWidth="1"/>
    <col min="13566" max="13566" width="4" style="204" customWidth="1"/>
    <col min="13567" max="13567" width="24.26953125" style="204" customWidth="1"/>
    <col min="13568" max="13568" width="1.7265625" style="204" customWidth="1"/>
    <col min="13569" max="13570" width="8.26953125" style="204" customWidth="1"/>
    <col min="13571" max="13817" width="7.08984375" style="204"/>
    <col min="13818" max="13818" width="10.26953125" style="204" customWidth="1"/>
    <col min="13819" max="13819" width="3.54296875" style="204" customWidth="1"/>
    <col min="13820" max="13821" width="1.7265625" style="204" customWidth="1"/>
    <col min="13822" max="13822" width="4" style="204" customWidth="1"/>
    <col min="13823" max="13823" width="24.26953125" style="204" customWidth="1"/>
    <col min="13824" max="13824" width="1.7265625" style="204" customWidth="1"/>
    <col min="13825" max="13826" width="8.26953125" style="204" customWidth="1"/>
    <col min="13827" max="14073" width="7.08984375" style="204"/>
    <col min="14074" max="14074" width="10.26953125" style="204" customWidth="1"/>
    <col min="14075" max="14075" width="3.54296875" style="204" customWidth="1"/>
    <col min="14076" max="14077" width="1.7265625" style="204" customWidth="1"/>
    <col min="14078" max="14078" width="4" style="204" customWidth="1"/>
    <col min="14079" max="14079" width="24.26953125" style="204" customWidth="1"/>
    <col min="14080" max="14080" width="1.7265625" style="204" customWidth="1"/>
    <col min="14081" max="14082" width="8.26953125" style="204" customWidth="1"/>
    <col min="14083" max="14329" width="7.08984375" style="204"/>
    <col min="14330" max="14330" width="10.26953125" style="204" customWidth="1"/>
    <col min="14331" max="14331" width="3.54296875" style="204" customWidth="1"/>
    <col min="14332" max="14333" width="1.7265625" style="204" customWidth="1"/>
    <col min="14334" max="14334" width="4" style="204" customWidth="1"/>
    <col min="14335" max="14335" width="24.26953125" style="204" customWidth="1"/>
    <col min="14336" max="14336" width="1.7265625" style="204" customWidth="1"/>
    <col min="14337" max="14338" width="8.26953125" style="204" customWidth="1"/>
    <col min="14339" max="14585" width="7.08984375" style="204"/>
    <col min="14586" max="14586" width="10.26953125" style="204" customWidth="1"/>
    <col min="14587" max="14587" width="3.54296875" style="204" customWidth="1"/>
    <col min="14588" max="14589" width="1.7265625" style="204" customWidth="1"/>
    <col min="14590" max="14590" width="4" style="204" customWidth="1"/>
    <col min="14591" max="14591" width="24.26953125" style="204" customWidth="1"/>
    <col min="14592" max="14592" width="1.7265625" style="204" customWidth="1"/>
    <col min="14593" max="14594" width="8.26953125" style="204" customWidth="1"/>
    <col min="14595" max="14841" width="7.08984375" style="204"/>
    <col min="14842" max="14842" width="10.26953125" style="204" customWidth="1"/>
    <col min="14843" max="14843" width="3.54296875" style="204" customWidth="1"/>
    <col min="14844" max="14845" width="1.7265625" style="204" customWidth="1"/>
    <col min="14846" max="14846" width="4" style="204" customWidth="1"/>
    <col min="14847" max="14847" width="24.26953125" style="204" customWidth="1"/>
    <col min="14848" max="14848" width="1.7265625" style="204" customWidth="1"/>
    <col min="14849" max="14850" width="8.26953125" style="204" customWidth="1"/>
    <col min="14851" max="15097" width="7.08984375" style="204"/>
    <col min="15098" max="15098" width="10.26953125" style="204" customWidth="1"/>
    <col min="15099" max="15099" width="3.54296875" style="204" customWidth="1"/>
    <col min="15100" max="15101" width="1.7265625" style="204" customWidth="1"/>
    <col min="15102" max="15102" width="4" style="204" customWidth="1"/>
    <col min="15103" max="15103" width="24.26953125" style="204" customWidth="1"/>
    <col min="15104" max="15104" width="1.7265625" style="204" customWidth="1"/>
    <col min="15105" max="15106" width="8.26953125" style="204" customWidth="1"/>
    <col min="15107" max="15353" width="7.08984375" style="204"/>
    <col min="15354" max="15354" width="10.26953125" style="204" customWidth="1"/>
    <col min="15355" max="15355" width="3.54296875" style="204" customWidth="1"/>
    <col min="15356" max="15357" width="1.7265625" style="204" customWidth="1"/>
    <col min="15358" max="15358" width="4" style="204" customWidth="1"/>
    <col min="15359" max="15359" width="24.26953125" style="204" customWidth="1"/>
    <col min="15360" max="15360" width="1.7265625" style="204" customWidth="1"/>
    <col min="15361" max="15362" width="8.26953125" style="204" customWidth="1"/>
    <col min="15363" max="15609" width="7.08984375" style="204"/>
    <col min="15610" max="15610" width="10.26953125" style="204" customWidth="1"/>
    <col min="15611" max="15611" width="3.54296875" style="204" customWidth="1"/>
    <col min="15612" max="15613" width="1.7265625" style="204" customWidth="1"/>
    <col min="15614" max="15614" width="4" style="204" customWidth="1"/>
    <col min="15615" max="15615" width="24.26953125" style="204" customWidth="1"/>
    <col min="15616" max="15616" width="1.7265625" style="204" customWidth="1"/>
    <col min="15617" max="15618" width="8.26953125" style="204" customWidth="1"/>
    <col min="15619" max="15865" width="7.08984375" style="204"/>
    <col min="15866" max="15866" width="10.26953125" style="204" customWidth="1"/>
    <col min="15867" max="15867" width="3.54296875" style="204" customWidth="1"/>
    <col min="15868" max="15869" width="1.7265625" style="204" customWidth="1"/>
    <col min="15870" max="15870" width="4" style="204" customWidth="1"/>
    <col min="15871" max="15871" width="24.26953125" style="204" customWidth="1"/>
    <col min="15872" max="15872" width="1.7265625" style="204" customWidth="1"/>
    <col min="15873" max="15874" width="8.26953125" style="204" customWidth="1"/>
    <col min="15875" max="16121" width="7.08984375" style="204"/>
    <col min="16122" max="16122" width="10.26953125" style="204" customWidth="1"/>
    <col min="16123" max="16123" width="3.54296875" style="204" customWidth="1"/>
    <col min="16124" max="16125" width="1.7265625" style="204" customWidth="1"/>
    <col min="16126" max="16126" width="4" style="204" customWidth="1"/>
    <col min="16127" max="16127" width="24.26953125" style="204" customWidth="1"/>
    <col min="16128" max="16128" width="1.7265625" style="204" customWidth="1"/>
    <col min="16129" max="16130" width="8.26953125" style="204" customWidth="1"/>
    <col min="16131" max="16384" width="7.08984375" style="204"/>
  </cols>
  <sheetData>
    <row r="1" spans="1:8" ht="14.25" customHeight="1">
      <c r="A1" s="784" t="s">
        <v>1038</v>
      </c>
      <c r="B1" s="784"/>
      <c r="C1" s="784"/>
      <c r="D1" s="784"/>
      <c r="E1" s="784"/>
      <c r="F1" s="784"/>
      <c r="G1" s="784"/>
      <c r="H1" s="784"/>
    </row>
    <row r="2" spans="1:8">
      <c r="A2" s="784" t="s">
        <v>1039</v>
      </c>
      <c r="B2" s="784"/>
      <c r="C2" s="784"/>
      <c r="D2" s="784"/>
      <c r="E2" s="784"/>
      <c r="F2" s="784"/>
      <c r="G2" s="784"/>
      <c r="H2" s="784"/>
    </row>
    <row r="3" spans="1:8">
      <c r="A3" s="785" t="str">
        <f>'Act Att-H'!C7</f>
        <v>Cheyenne Light, Fuel &amp; Power</v>
      </c>
      <c r="B3" s="785"/>
      <c r="C3" s="785"/>
      <c r="D3" s="785"/>
      <c r="E3" s="785"/>
      <c r="F3" s="785"/>
      <c r="G3" s="785"/>
      <c r="H3" s="785"/>
    </row>
    <row r="4" spans="1:8">
      <c r="F4" s="2"/>
      <c r="H4" s="205" t="s">
        <v>673</v>
      </c>
    </row>
    <row r="5" spans="1:8">
      <c r="A5" s="216"/>
      <c r="B5" s="216"/>
      <c r="C5" s="216"/>
      <c r="D5" s="216"/>
      <c r="E5" s="216"/>
      <c r="F5" s="216"/>
      <c r="G5" s="216"/>
      <c r="H5" s="216"/>
    </row>
    <row r="6" spans="1:8" ht="60.75" customHeight="1">
      <c r="B6" s="127" t="s">
        <v>4</v>
      </c>
      <c r="C6" s="229" t="s">
        <v>478</v>
      </c>
      <c r="D6" s="229" t="s">
        <v>1042</v>
      </c>
      <c r="E6" s="229" t="s">
        <v>10</v>
      </c>
      <c r="F6" s="229" t="s">
        <v>1043</v>
      </c>
      <c r="G6" s="229" t="s">
        <v>1044</v>
      </c>
      <c r="H6" s="204"/>
    </row>
    <row r="7" spans="1:8" ht="15" customHeight="1">
      <c r="B7" s="225"/>
      <c r="C7" s="230" t="s">
        <v>157</v>
      </c>
      <c r="D7" s="231" t="s">
        <v>158</v>
      </c>
      <c r="E7" s="231" t="s">
        <v>159</v>
      </c>
      <c r="F7" s="231" t="s">
        <v>160</v>
      </c>
      <c r="G7" s="231" t="s">
        <v>161</v>
      </c>
      <c r="H7" s="204"/>
    </row>
    <row r="8" spans="1:8" ht="15" customHeight="1">
      <c r="B8" s="206">
        <v>1</v>
      </c>
      <c r="C8" s="419" t="s">
        <v>1061</v>
      </c>
      <c r="D8" s="665">
        <v>12233</v>
      </c>
      <c r="E8" s="679" t="s">
        <v>100</v>
      </c>
      <c r="F8" s="680">
        <f t="shared" ref="F8:F13" si="0">IF(E8=0,0, IF(E8="NA", NA, IF(E8="TP",TP, IF(E8="TE",TE,IF(E8="CE",CE,IF(E8="WS",WS,IF(E8="DA",DA, IF(E8="GP",GP))))))))</f>
        <v>7.0964263854582682E-2</v>
      </c>
      <c r="G8" s="672">
        <f t="shared" ref="G8:G16" si="1">F8*D8</f>
        <v>868.10583973310997</v>
      </c>
      <c r="H8" s="204"/>
    </row>
    <row r="9" spans="1:8" ht="15" customHeight="1">
      <c r="B9" s="206">
        <v>2</v>
      </c>
      <c r="C9" s="419" t="s">
        <v>1062</v>
      </c>
      <c r="D9" s="670">
        <v>1997</v>
      </c>
      <c r="E9" s="679" t="s">
        <v>27</v>
      </c>
      <c r="F9" s="680">
        <f t="shared" si="0"/>
        <v>0</v>
      </c>
      <c r="G9" s="673">
        <f t="shared" si="1"/>
        <v>0</v>
      </c>
      <c r="H9" s="204"/>
    </row>
    <row r="10" spans="1:8" ht="15" customHeight="1">
      <c r="B10" s="206">
        <v>3</v>
      </c>
      <c r="C10" s="419" t="s">
        <v>1063</v>
      </c>
      <c r="D10" s="670">
        <v>2951</v>
      </c>
      <c r="E10" s="679" t="s">
        <v>100</v>
      </c>
      <c r="F10" s="680">
        <f t="shared" si="0"/>
        <v>7.0964263854582682E-2</v>
      </c>
      <c r="G10" s="673">
        <f t="shared" si="1"/>
        <v>209.4155426348735</v>
      </c>
      <c r="H10" s="204"/>
    </row>
    <row r="11" spans="1:8" ht="15" customHeight="1">
      <c r="B11" s="206">
        <v>4</v>
      </c>
      <c r="C11" s="419" t="s">
        <v>1064</v>
      </c>
      <c r="D11" s="670">
        <v>17</v>
      </c>
      <c r="E11" s="679" t="s">
        <v>27</v>
      </c>
      <c r="F11" s="680">
        <f t="shared" si="0"/>
        <v>0</v>
      </c>
      <c r="G11" s="673">
        <f t="shared" si="1"/>
        <v>0</v>
      </c>
      <c r="H11" s="204"/>
    </row>
    <row r="12" spans="1:8" ht="15" customHeight="1">
      <c r="B12" s="206">
        <v>5</v>
      </c>
      <c r="C12" s="419" t="s">
        <v>1073</v>
      </c>
      <c r="D12" s="670">
        <v>-22189</v>
      </c>
      <c r="E12" s="679" t="s">
        <v>100</v>
      </c>
      <c r="F12" s="680">
        <f t="shared" si="0"/>
        <v>7.0964263854582682E-2</v>
      </c>
      <c r="G12" s="673">
        <f t="shared" si="1"/>
        <v>-1574.6260506693352</v>
      </c>
      <c r="H12" s="204"/>
    </row>
    <row r="13" spans="1:8" ht="15" customHeight="1">
      <c r="B13" s="206">
        <v>6</v>
      </c>
      <c r="C13" s="419" t="s">
        <v>1065</v>
      </c>
      <c r="D13" s="670">
        <v>173343</v>
      </c>
      <c r="E13" s="679" t="s">
        <v>37</v>
      </c>
      <c r="F13" s="680">
        <f t="shared" si="0"/>
        <v>0.11784364581437545</v>
      </c>
      <c r="G13" s="673">
        <f t="shared" si="1"/>
        <v>20427.371096401283</v>
      </c>
      <c r="H13" s="204"/>
    </row>
    <row r="14" spans="1:8" ht="15" customHeight="1">
      <c r="B14" s="206">
        <v>7</v>
      </c>
      <c r="C14" s="419" t="s">
        <v>1163</v>
      </c>
      <c r="D14" s="670">
        <v>0</v>
      </c>
      <c r="E14" s="679" t="s">
        <v>100</v>
      </c>
      <c r="F14" s="680">
        <f t="shared" ref="F14:F16" si="2">IF(E14=0,0, IF(E14="NA", NA, IF(E14="TP",TP, IF(E14="TE",TE,IF(E14="CE",CE,IF(E14="WS",WS,IF(E14="DA",DA, IF(E14="GP",GP))))))))</f>
        <v>7.0964263854582682E-2</v>
      </c>
      <c r="G14" s="673">
        <f t="shared" si="1"/>
        <v>0</v>
      </c>
      <c r="H14" s="204"/>
    </row>
    <row r="15" spans="1:8" ht="15" customHeight="1">
      <c r="B15" s="206">
        <v>8</v>
      </c>
      <c r="C15" s="419" t="s">
        <v>1165</v>
      </c>
      <c r="D15" s="670">
        <v>0</v>
      </c>
      <c r="E15" s="679" t="s">
        <v>100</v>
      </c>
      <c r="F15" s="680">
        <f t="shared" si="2"/>
        <v>7.0964263854582682E-2</v>
      </c>
      <c r="G15" s="673">
        <f t="shared" si="1"/>
        <v>0</v>
      </c>
      <c r="H15" s="204"/>
    </row>
    <row r="16" spans="1:8" ht="15" customHeight="1">
      <c r="B16" s="206">
        <v>9</v>
      </c>
      <c r="C16" s="419" t="s">
        <v>1164</v>
      </c>
      <c r="D16" s="670">
        <v>0</v>
      </c>
      <c r="E16" s="679" t="s">
        <v>100</v>
      </c>
      <c r="F16" s="680">
        <f t="shared" si="2"/>
        <v>7.0964263854582682E-2</v>
      </c>
      <c r="G16" s="673">
        <f t="shared" si="1"/>
        <v>0</v>
      </c>
      <c r="H16" s="204"/>
    </row>
    <row r="17" spans="2:8">
      <c r="B17" s="206">
        <v>10</v>
      </c>
      <c r="C17" s="309" t="s">
        <v>9</v>
      </c>
      <c r="D17" s="667" t="s">
        <v>1111</v>
      </c>
      <c r="E17" s="667"/>
      <c r="F17" s="671"/>
      <c r="G17" s="674">
        <f>SUM(G8:G16)</f>
        <v>19930.266428099931</v>
      </c>
      <c r="H17" s="226"/>
    </row>
    <row r="18" spans="2:8">
      <c r="B18" s="206"/>
      <c r="H18" s="226"/>
    </row>
    <row r="19" spans="2:8">
      <c r="B19" s="206"/>
      <c r="H19" s="226"/>
    </row>
    <row r="20" spans="2:8">
      <c r="B20" s="381" t="s">
        <v>174</v>
      </c>
      <c r="H20" s="226"/>
    </row>
    <row r="21" spans="2:8">
      <c r="B21" s="206" t="s">
        <v>79</v>
      </c>
      <c r="C21" s="204" t="s">
        <v>1204</v>
      </c>
      <c r="H21" s="226"/>
    </row>
    <row r="22" spans="2:8">
      <c r="B22" s="206"/>
    </row>
    <row r="23" spans="2:8">
      <c r="B23" s="206"/>
      <c r="C23" s="594"/>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I140"/>
  <sheetViews>
    <sheetView workbookViewId="0">
      <selection activeCell="H58" sqref="H58"/>
    </sheetView>
  </sheetViews>
  <sheetFormatPr defaultColWidth="7.08984375" defaultRowHeight="13.2"/>
  <cols>
    <col min="1" max="1" width="5.26953125" style="241" customWidth="1"/>
    <col min="2" max="2" width="5.54296875" style="241" customWidth="1"/>
    <col min="3" max="3" width="5.08984375" style="241" customWidth="1"/>
    <col min="4" max="4" width="12.7265625" style="240" customWidth="1"/>
    <col min="5" max="5" width="22.7265625" style="240" customWidth="1"/>
    <col min="6" max="6" width="12.26953125" style="240" customWidth="1"/>
    <col min="7" max="7" width="13.453125" style="240" bestFit="1" customWidth="1"/>
    <col min="8" max="8" width="19.26953125" style="240" customWidth="1"/>
    <col min="9" max="9" width="4.7265625" style="240" bestFit="1" customWidth="1"/>
    <col min="10" max="16384" width="7.08984375" style="240"/>
  </cols>
  <sheetData>
    <row r="1" spans="1:9">
      <c r="A1" s="784" t="s">
        <v>312</v>
      </c>
      <c r="B1" s="784"/>
      <c r="C1" s="784"/>
      <c r="D1" s="784"/>
      <c r="E1" s="784"/>
      <c r="F1" s="784"/>
      <c r="G1" s="784"/>
      <c r="H1" s="784"/>
    </row>
    <row r="2" spans="1:9">
      <c r="A2" s="784" t="s">
        <v>552</v>
      </c>
      <c r="B2" s="784"/>
      <c r="C2" s="784"/>
      <c r="D2" s="784"/>
      <c r="E2" s="784"/>
      <c r="F2" s="784"/>
      <c r="G2" s="784"/>
      <c r="H2" s="784"/>
    </row>
    <row r="3" spans="1:9">
      <c r="A3" s="785" t="str">
        <f>'Act Att-H'!C7</f>
        <v>Cheyenne Light, Fuel &amp; Power</v>
      </c>
      <c r="B3" s="785"/>
      <c r="C3" s="785"/>
      <c r="D3" s="785"/>
      <c r="E3" s="785"/>
      <c r="F3" s="785"/>
      <c r="G3" s="785"/>
      <c r="H3" s="785"/>
    </row>
    <row r="4" spans="1:9">
      <c r="H4" s="242" t="s">
        <v>673</v>
      </c>
    </row>
    <row r="5" spans="1:9">
      <c r="A5" s="243" t="s">
        <v>266</v>
      </c>
    </row>
    <row r="6" spans="1:9">
      <c r="A6" s="663" t="s">
        <v>267</v>
      </c>
      <c r="B6" s="663" t="s">
        <v>268</v>
      </c>
      <c r="C6" s="663" t="s">
        <v>269</v>
      </c>
      <c r="D6" s="663" t="s">
        <v>270</v>
      </c>
      <c r="E6" s="241"/>
    </row>
    <row r="7" spans="1:9">
      <c r="A7" s="241">
        <v>1</v>
      </c>
      <c r="B7" s="241" t="s">
        <v>271</v>
      </c>
      <c r="C7" s="241" t="s">
        <v>272</v>
      </c>
      <c r="D7" s="244" t="s">
        <v>446</v>
      </c>
      <c r="E7" s="244"/>
    </row>
    <row r="8" spans="1:9">
      <c r="A8" s="241">
        <f>A7+1</f>
        <v>2</v>
      </c>
      <c r="B8" s="241" t="s">
        <v>271</v>
      </c>
      <c r="C8" s="241" t="s">
        <v>272</v>
      </c>
      <c r="D8" s="244" t="s">
        <v>273</v>
      </c>
      <c r="E8" s="244"/>
    </row>
    <row r="9" spans="1:9">
      <c r="A9" s="241">
        <f t="shared" ref="A9:A17" si="0">A8+1</f>
        <v>3</v>
      </c>
      <c r="B9" s="245" t="s">
        <v>274</v>
      </c>
      <c r="C9" s="241" t="s">
        <v>275</v>
      </c>
      <c r="D9" s="244" t="s">
        <v>276</v>
      </c>
      <c r="E9" s="244"/>
    </row>
    <row r="10" spans="1:9">
      <c r="A10" s="241">
        <f t="shared" si="0"/>
        <v>4</v>
      </c>
      <c r="B10" s="241" t="str">
        <f>+B7</f>
        <v>Oct</v>
      </c>
      <c r="C10" s="241" t="s">
        <v>275</v>
      </c>
      <c r="D10" s="244" t="s">
        <v>443</v>
      </c>
      <c r="E10" s="244"/>
    </row>
    <row r="11" spans="1:9">
      <c r="A11" s="241">
        <f t="shared" si="0"/>
        <v>5</v>
      </c>
      <c r="B11" s="241" t="s">
        <v>271</v>
      </c>
      <c r="C11" s="241" t="str">
        <f>C10</f>
        <v>Year 1</v>
      </c>
      <c r="D11" s="244" t="s">
        <v>277</v>
      </c>
      <c r="E11" s="244"/>
    </row>
    <row r="12" spans="1:9">
      <c r="A12" s="241">
        <f t="shared" si="0"/>
        <v>6</v>
      </c>
      <c r="B12" s="241" t="s">
        <v>274</v>
      </c>
      <c r="C12" s="241" t="s">
        <v>278</v>
      </c>
      <c r="D12" s="244" t="s">
        <v>279</v>
      </c>
      <c r="E12" s="244"/>
    </row>
    <row r="13" spans="1:9">
      <c r="A13" s="241">
        <f t="shared" si="0"/>
        <v>7</v>
      </c>
      <c r="B13" s="241" t="s">
        <v>280</v>
      </c>
      <c r="C13" s="241" t="s">
        <v>278</v>
      </c>
      <c r="D13" s="244" t="s">
        <v>444</v>
      </c>
      <c r="E13" s="246"/>
      <c r="F13" s="247"/>
      <c r="G13" s="247"/>
      <c r="H13" s="247"/>
      <c r="I13" s="247"/>
    </row>
    <row r="14" spans="1:9">
      <c r="A14" s="241">
        <f t="shared" si="0"/>
        <v>8</v>
      </c>
      <c r="B14" s="241" t="s">
        <v>280</v>
      </c>
      <c r="C14" s="241" t="s">
        <v>278</v>
      </c>
      <c r="D14" s="244" t="s">
        <v>281</v>
      </c>
      <c r="E14" s="244"/>
    </row>
    <row r="15" spans="1:9">
      <c r="A15" s="241">
        <f t="shared" si="0"/>
        <v>9</v>
      </c>
      <c r="B15" s="241" t="s">
        <v>280</v>
      </c>
      <c r="C15" s="241" t="s">
        <v>278</v>
      </c>
      <c r="D15" s="244" t="s">
        <v>282</v>
      </c>
    </row>
    <row r="16" spans="1:9">
      <c r="A16" s="241">
        <f t="shared" si="0"/>
        <v>10</v>
      </c>
      <c r="B16" s="241" t="s">
        <v>271</v>
      </c>
      <c r="C16" s="241" t="s">
        <v>278</v>
      </c>
      <c r="D16" s="244" t="s">
        <v>445</v>
      </c>
      <c r="E16" s="244"/>
    </row>
    <row r="17" spans="1:9">
      <c r="A17" s="241">
        <f t="shared" si="0"/>
        <v>11</v>
      </c>
      <c r="B17" s="241" t="s">
        <v>271</v>
      </c>
      <c r="C17" s="241" t="s">
        <v>278</v>
      </c>
      <c r="D17" s="244" t="s">
        <v>283</v>
      </c>
      <c r="E17" s="244"/>
    </row>
    <row r="18" spans="1:9">
      <c r="A18" s="240"/>
      <c r="B18" s="240"/>
      <c r="C18" s="240"/>
      <c r="E18" s="244"/>
    </row>
    <row r="19" spans="1:9">
      <c r="A19" s="240"/>
      <c r="B19" s="243" t="s">
        <v>809</v>
      </c>
    </row>
    <row r="20" spans="1:9" ht="12.75" customHeight="1" thickBot="1">
      <c r="A20" s="241">
        <f>A17+1</f>
        <v>12</v>
      </c>
      <c r="D20" s="247"/>
      <c r="E20" s="247"/>
      <c r="F20" s="247"/>
      <c r="H20" s="248" t="s">
        <v>284</v>
      </c>
      <c r="I20" s="247"/>
    </row>
    <row r="21" spans="1:9" ht="12.75" customHeight="1">
      <c r="A21" s="241">
        <f>A20+1</f>
        <v>13</v>
      </c>
      <c r="C21" s="240" t="s">
        <v>285</v>
      </c>
      <c r="E21" s="247"/>
      <c r="F21" s="249"/>
      <c r="H21" s="434">
        <f>'Act Att-H'!I19</f>
        <v>11072725.729044784</v>
      </c>
      <c r="I21" s="247"/>
    </row>
    <row r="22" spans="1:9">
      <c r="A22" s="241">
        <f t="shared" ref="A22:A23" si="1">A21+1</f>
        <v>14</v>
      </c>
      <c r="B22" s="251"/>
      <c r="C22" s="240" t="s">
        <v>820</v>
      </c>
      <c r="F22" s="250"/>
      <c r="H22" s="434">
        <v>14035830.289751969</v>
      </c>
      <c r="I22" s="247"/>
    </row>
    <row r="23" spans="1:9">
      <c r="A23" s="241">
        <f t="shared" si="1"/>
        <v>15</v>
      </c>
      <c r="C23" s="240" t="s">
        <v>1076</v>
      </c>
      <c r="F23" s="252" t="s">
        <v>782</v>
      </c>
      <c r="H23" s="401">
        <f>+H21-H22</f>
        <v>-2963104.5607071854</v>
      </c>
      <c r="I23" s="247"/>
    </row>
    <row r="24" spans="1:9">
      <c r="F24" s="252"/>
      <c r="I24" s="247"/>
    </row>
    <row r="25" spans="1:9">
      <c r="A25" s="240"/>
      <c r="B25" s="243" t="s">
        <v>810</v>
      </c>
    </row>
    <row r="26" spans="1:9" ht="12.75" customHeight="1" thickBot="1">
      <c r="A26" s="241">
        <f>A23+1</f>
        <v>16</v>
      </c>
      <c r="D26" s="247"/>
      <c r="E26" s="247"/>
      <c r="F26" s="247"/>
      <c r="H26" s="248" t="s">
        <v>284</v>
      </c>
      <c r="I26" s="247"/>
    </row>
    <row r="27" spans="1:9">
      <c r="A27" s="241">
        <f>A26+1</f>
        <v>17</v>
      </c>
      <c r="C27" s="240" t="s">
        <v>813</v>
      </c>
      <c r="E27" s="247"/>
      <c r="F27" s="249"/>
      <c r="H27" s="542">
        <f>'A6-Divisor'!E21</f>
        <v>267750</v>
      </c>
      <c r="I27" s="247" t="s">
        <v>812</v>
      </c>
    </row>
    <row r="28" spans="1:9">
      <c r="A28" s="241">
        <f t="shared" ref="A28:A33" si="2">A27+1</f>
        <v>18</v>
      </c>
      <c r="B28" s="251"/>
      <c r="C28" s="240" t="s">
        <v>821</v>
      </c>
      <c r="F28" s="250"/>
      <c r="H28" s="542">
        <v>238955.11850731215</v>
      </c>
      <c r="I28" s="247" t="s">
        <v>812</v>
      </c>
    </row>
    <row r="29" spans="1:9">
      <c r="A29" s="241">
        <f t="shared" si="2"/>
        <v>19</v>
      </c>
      <c r="C29" s="240" t="s">
        <v>958</v>
      </c>
      <c r="F29" s="252" t="s">
        <v>819</v>
      </c>
      <c r="H29" s="543">
        <f>H28-H27</f>
        <v>-28794.881492687855</v>
      </c>
      <c r="I29" s="247" t="s">
        <v>812</v>
      </c>
    </row>
    <row r="30" spans="1:9" ht="12.75" customHeight="1">
      <c r="A30" s="241">
        <f t="shared" si="2"/>
        <v>20</v>
      </c>
      <c r="C30" s="240"/>
      <c r="D30" s="247"/>
      <c r="E30" s="247"/>
      <c r="F30" s="252"/>
      <c r="H30" s="544"/>
      <c r="I30" s="247"/>
    </row>
    <row r="31" spans="1:9">
      <c r="A31" s="241">
        <f t="shared" si="2"/>
        <v>21</v>
      </c>
      <c r="C31" s="240" t="s">
        <v>822</v>
      </c>
      <c r="E31" s="247"/>
      <c r="F31" s="252" t="s">
        <v>814</v>
      </c>
      <c r="H31" s="544">
        <f>IF(H28=0,0,ROUND(H22/H28,6))</f>
        <v>58.738354000000001</v>
      </c>
      <c r="I31" s="247" t="s">
        <v>815</v>
      </c>
    </row>
    <row r="32" spans="1:9">
      <c r="A32" s="241">
        <f t="shared" si="2"/>
        <v>22</v>
      </c>
      <c r="B32" s="251"/>
      <c r="C32" s="240" t="s">
        <v>811</v>
      </c>
      <c r="F32" s="252" t="s">
        <v>832</v>
      </c>
      <c r="H32" s="401">
        <f>H29*H31</f>
        <v>-1691363.9425055478</v>
      </c>
      <c r="I32" s="247"/>
    </row>
    <row r="33" spans="1:9">
      <c r="A33" s="241">
        <f t="shared" si="2"/>
        <v>23</v>
      </c>
      <c r="C33" s="240"/>
      <c r="F33" s="252"/>
      <c r="H33" s="541"/>
      <c r="I33" s="247"/>
    </row>
    <row r="34" spans="1:9">
      <c r="B34" s="243" t="s">
        <v>1034</v>
      </c>
      <c r="C34" s="240"/>
      <c r="F34" s="252"/>
      <c r="H34" s="541"/>
      <c r="I34" s="247"/>
    </row>
    <row r="35" spans="1:9">
      <c r="A35" s="241" t="s">
        <v>375</v>
      </c>
      <c r="C35" s="240" t="s">
        <v>1036</v>
      </c>
      <c r="F35" s="252"/>
      <c r="H35" s="434">
        <v>0</v>
      </c>
      <c r="I35" s="247"/>
    </row>
    <row r="36" spans="1:9">
      <c r="C36" s="240"/>
      <c r="F36" s="252"/>
      <c r="H36" s="541"/>
      <c r="I36" s="247"/>
    </row>
    <row r="37" spans="1:9">
      <c r="A37" s="241">
        <f>A33+1</f>
        <v>24</v>
      </c>
      <c r="B37" s="240" t="s">
        <v>959</v>
      </c>
      <c r="C37" s="240"/>
      <c r="D37" s="244"/>
      <c r="E37" s="241"/>
      <c r="F37" s="247" t="s">
        <v>1035</v>
      </c>
      <c r="G37" s="247"/>
      <c r="H37" s="545">
        <f>H23+H32+H35</f>
        <v>-4654468.5032127332</v>
      </c>
      <c r="I37" s="247"/>
    </row>
    <row r="38" spans="1:9">
      <c r="C38" s="240"/>
      <c r="D38" s="244"/>
      <c r="E38" s="241"/>
      <c r="F38" s="247"/>
      <c r="G38" s="247"/>
      <c r="H38" s="247"/>
      <c r="I38" s="247"/>
    </row>
    <row r="39" spans="1:9">
      <c r="B39" s="243" t="s">
        <v>287</v>
      </c>
      <c r="D39" s="244"/>
      <c r="E39" s="241"/>
      <c r="F39" s="247"/>
      <c r="G39" s="247"/>
      <c r="H39" s="247"/>
      <c r="I39" s="247"/>
    </row>
    <row r="40" spans="1:9" ht="14.25" customHeight="1">
      <c r="D40" s="253" t="s">
        <v>288</v>
      </c>
      <c r="E40" s="254"/>
      <c r="F40" s="255"/>
      <c r="G40" s="247"/>
      <c r="H40" s="256" t="s">
        <v>289</v>
      </c>
      <c r="I40" s="247"/>
    </row>
    <row r="41" spans="1:9">
      <c r="A41" s="241">
        <f>A37+1</f>
        <v>25</v>
      </c>
      <c r="D41" s="244" t="s">
        <v>290</v>
      </c>
      <c r="E41" s="241"/>
      <c r="F41" s="247"/>
      <c r="H41" s="73"/>
      <c r="I41" s="257"/>
    </row>
    <row r="42" spans="1:9">
      <c r="A42" s="241">
        <f>A41+1</f>
        <v>26</v>
      </c>
      <c r="D42" s="244" t="s">
        <v>291</v>
      </c>
      <c r="E42" s="241"/>
      <c r="F42" s="247"/>
      <c r="H42" s="73"/>
      <c r="I42" s="257"/>
    </row>
    <row r="43" spans="1:9">
      <c r="A43" s="241">
        <f>A42+1</f>
        <v>27</v>
      </c>
      <c r="D43" s="244" t="s">
        <v>292</v>
      </c>
      <c r="E43" s="241"/>
      <c r="F43" s="247"/>
      <c r="H43" s="73"/>
      <c r="I43" s="257"/>
    </row>
    <row r="44" spans="1:9">
      <c r="A44" s="241">
        <f>A43+1</f>
        <v>28</v>
      </c>
      <c r="D44" s="244" t="s">
        <v>293</v>
      </c>
      <c r="E44" s="241"/>
      <c r="F44" s="240" t="s">
        <v>833</v>
      </c>
      <c r="H44" s="258">
        <f>IF(H42*H43=0,0,H41/H42*H43/2)</f>
        <v>0</v>
      </c>
      <c r="I44" s="247"/>
    </row>
    <row r="45" spans="1:9">
      <c r="D45" s="244"/>
      <c r="E45" s="241"/>
      <c r="F45" s="247"/>
      <c r="H45" s="259"/>
      <c r="I45" s="247"/>
    </row>
    <row r="46" spans="1:9">
      <c r="D46" s="253" t="s">
        <v>553</v>
      </c>
      <c r="E46" s="260"/>
      <c r="F46" s="255"/>
      <c r="H46" s="261"/>
    </row>
    <row r="47" spans="1:9">
      <c r="A47" s="241">
        <f>A44+1</f>
        <v>29</v>
      </c>
      <c r="D47" s="244" t="s">
        <v>294</v>
      </c>
      <c r="F47" s="247"/>
      <c r="H47" s="262"/>
    </row>
    <row r="48" spans="1:9">
      <c r="A48" s="241">
        <f t="shared" ref="A48:A51" si="3">A47+1</f>
        <v>30</v>
      </c>
      <c r="D48" s="244" t="s">
        <v>295</v>
      </c>
      <c r="F48" s="247"/>
      <c r="H48" s="262"/>
    </row>
    <row r="49" spans="1:9">
      <c r="A49" s="241">
        <f t="shared" si="3"/>
        <v>31</v>
      </c>
      <c r="D49" s="244" t="s">
        <v>296</v>
      </c>
      <c r="F49" s="247"/>
      <c r="H49" s="262"/>
    </row>
    <row r="50" spans="1:9">
      <c r="A50" s="241">
        <f t="shared" si="3"/>
        <v>32</v>
      </c>
      <c r="D50" s="244" t="s">
        <v>297</v>
      </c>
      <c r="F50" s="247"/>
      <c r="H50" s="262"/>
    </row>
    <row r="51" spans="1:9">
      <c r="A51" s="241">
        <f t="shared" si="3"/>
        <v>33</v>
      </c>
      <c r="D51" s="244" t="s">
        <v>298</v>
      </c>
      <c r="E51" s="247"/>
      <c r="F51" s="247" t="s">
        <v>816</v>
      </c>
      <c r="H51" s="263">
        <f>IF(SUM(H47:H50)=0,0,AVERAGE(H47:H50))</f>
        <v>0</v>
      </c>
    </row>
    <row r="52" spans="1:9">
      <c r="D52" s="244"/>
      <c r="E52" s="247"/>
      <c r="F52" s="247"/>
      <c r="H52" s="264"/>
    </row>
    <row r="53" spans="1:9">
      <c r="A53" s="241">
        <f>A51+1</f>
        <v>34</v>
      </c>
      <c r="D53" s="244" t="s">
        <v>299</v>
      </c>
      <c r="E53" s="247"/>
      <c r="F53" s="247"/>
      <c r="H53" s="449">
        <f>IF(H23&lt;=0,$H51,MIN($H51,$H44))</f>
        <v>0</v>
      </c>
    </row>
    <row r="54" spans="1:9">
      <c r="D54" s="244"/>
      <c r="E54" s="247"/>
      <c r="F54" s="247"/>
      <c r="H54" s="265"/>
      <c r="I54" s="247"/>
    </row>
    <row r="55" spans="1:9" ht="15.75" customHeight="1" thickBot="1">
      <c r="D55" s="247"/>
      <c r="E55" s="247"/>
      <c r="F55" s="247"/>
      <c r="H55" s="248" t="s">
        <v>300</v>
      </c>
    </row>
    <row r="56" spans="1:9">
      <c r="A56" s="241">
        <f>A53+1</f>
        <v>35</v>
      </c>
      <c r="C56" s="240"/>
      <c r="D56" s="240" t="s">
        <v>960</v>
      </c>
      <c r="H56" s="266">
        <f>ROUND(+H37*12/12,0)</f>
        <v>-4654469</v>
      </c>
    </row>
    <row r="57" spans="1:9">
      <c r="A57" s="241">
        <f>A56+1</f>
        <v>36</v>
      </c>
      <c r="C57" s="240"/>
      <c r="D57" s="240" t="s">
        <v>783</v>
      </c>
      <c r="H57" s="267">
        <f>ROUND(H$53/12*(24)*H56,2)</f>
        <v>0</v>
      </c>
      <c r="I57" s="247"/>
    </row>
    <row r="58" spans="1:9">
      <c r="A58" s="241">
        <f>A57+1</f>
        <v>37</v>
      </c>
      <c r="C58" s="250"/>
      <c r="D58" s="243" t="s">
        <v>961</v>
      </c>
      <c r="E58" s="244"/>
      <c r="G58" s="241"/>
      <c r="H58" s="448">
        <f>SUM(H56:H57)</f>
        <v>-4654469</v>
      </c>
      <c r="I58" s="247"/>
    </row>
    <row r="59" spans="1:9">
      <c r="C59" s="250"/>
      <c r="D59" s="241"/>
      <c r="E59" s="244"/>
      <c r="G59" s="241"/>
      <c r="H59" s="268"/>
      <c r="I59" s="244"/>
    </row>
    <row r="60" spans="1:9">
      <c r="A60" s="241" t="s">
        <v>205</v>
      </c>
    </row>
    <row r="61" spans="1:9" s="683" customFormat="1" ht="15.75" customHeight="1">
      <c r="A61" s="269" t="s">
        <v>79</v>
      </c>
      <c r="B61" s="802" t="s">
        <v>447</v>
      </c>
      <c r="C61" s="802"/>
      <c r="D61" s="802"/>
      <c r="E61" s="802"/>
      <c r="F61" s="802"/>
      <c r="G61" s="802"/>
      <c r="H61" s="802"/>
    </row>
    <row r="62" spans="1:9" s="683" customFormat="1">
      <c r="A62" s="269" t="s">
        <v>80</v>
      </c>
      <c r="B62" s="802" t="s">
        <v>448</v>
      </c>
      <c r="C62" s="802"/>
      <c r="D62" s="802"/>
      <c r="E62" s="802"/>
      <c r="F62" s="802"/>
      <c r="G62" s="802"/>
      <c r="H62" s="802"/>
    </row>
    <row r="63" spans="1:9" s="683" customFormat="1">
      <c r="A63" s="269" t="s">
        <v>81</v>
      </c>
      <c r="B63" s="802" t="s">
        <v>301</v>
      </c>
      <c r="C63" s="802"/>
      <c r="D63" s="802"/>
      <c r="E63" s="802"/>
      <c r="F63" s="802"/>
      <c r="G63" s="802"/>
      <c r="H63" s="802"/>
    </row>
    <row r="64" spans="1:9" s="683" customFormat="1" ht="27" customHeight="1">
      <c r="A64" s="269" t="s">
        <v>82</v>
      </c>
      <c r="B64" s="801" t="s">
        <v>957</v>
      </c>
      <c r="C64" s="801"/>
      <c r="D64" s="801"/>
      <c r="E64" s="801"/>
      <c r="F64" s="801"/>
      <c r="G64" s="801"/>
      <c r="H64" s="801"/>
    </row>
    <row r="65" spans="1:8" s="683" customFormat="1" ht="14.25" customHeight="1">
      <c r="A65" s="269" t="s">
        <v>83</v>
      </c>
      <c r="B65" s="802" t="s">
        <v>302</v>
      </c>
      <c r="C65" s="802"/>
      <c r="D65" s="802"/>
      <c r="E65" s="802"/>
      <c r="F65" s="802"/>
      <c r="G65" s="802"/>
      <c r="H65" s="802"/>
    </row>
    <row r="66" spans="1:8" s="683" customFormat="1" ht="108.75" customHeight="1">
      <c r="A66" s="269" t="s">
        <v>84</v>
      </c>
      <c r="B66" s="801" t="s">
        <v>1081</v>
      </c>
      <c r="C66" s="801"/>
      <c r="D66" s="801"/>
      <c r="E66" s="801"/>
      <c r="F66" s="801"/>
      <c r="G66" s="801"/>
      <c r="H66" s="801"/>
    </row>
    <row r="67" spans="1:8">
      <c r="B67" s="240"/>
    </row>
    <row r="117" spans="3:7" ht="15.6">
      <c r="C117" s="270"/>
      <c r="D117" s="271"/>
      <c r="E117" s="271"/>
      <c r="F117" s="271"/>
      <c r="G117" s="271"/>
    </row>
    <row r="118" spans="3:7" ht="99.75" customHeight="1">
      <c r="C118" s="270"/>
      <c r="D118" s="271"/>
      <c r="E118" s="271"/>
      <c r="F118" s="271"/>
      <c r="G118" s="271"/>
    </row>
    <row r="119" spans="3:7" ht="15.6">
      <c r="C119" s="270"/>
      <c r="D119" s="271"/>
      <c r="E119" s="271"/>
      <c r="F119" s="271"/>
      <c r="G119" s="271"/>
    </row>
    <row r="120" spans="3:7" ht="15.6">
      <c r="C120" s="270"/>
      <c r="D120" s="271"/>
      <c r="E120" s="271"/>
      <c r="F120" s="271"/>
      <c r="G120" s="271"/>
    </row>
    <row r="121" spans="3:7" ht="15.6">
      <c r="C121" s="270"/>
      <c r="D121" s="271"/>
      <c r="E121" s="271"/>
      <c r="F121" s="271"/>
      <c r="G121" s="271"/>
    </row>
    <row r="122" spans="3:7" ht="15.6">
      <c r="C122" s="270"/>
      <c r="D122" s="271"/>
      <c r="E122" s="271"/>
      <c r="F122" s="271"/>
      <c r="G122" s="271"/>
    </row>
    <row r="123" spans="3:7" ht="15.6">
      <c r="C123" s="270"/>
      <c r="D123" s="271"/>
      <c r="E123" s="271"/>
      <c r="F123" s="271"/>
      <c r="G123" s="271"/>
    </row>
    <row r="124" spans="3:7" ht="15.6">
      <c r="C124" s="270"/>
      <c r="D124" s="271"/>
      <c r="E124" s="271"/>
      <c r="F124" s="271"/>
      <c r="G124" s="271"/>
    </row>
    <row r="125" spans="3:7" ht="15.6">
      <c r="C125" s="270"/>
      <c r="D125" s="271"/>
      <c r="E125" s="271"/>
      <c r="F125" s="271"/>
      <c r="G125" s="271"/>
    </row>
    <row r="126" spans="3:7" ht="15.6">
      <c r="C126" s="270"/>
      <c r="D126" s="271"/>
      <c r="E126" s="271"/>
      <c r="F126" s="271"/>
      <c r="G126" s="271"/>
    </row>
    <row r="127" spans="3:7" ht="15.6">
      <c r="C127" s="270"/>
      <c r="D127" s="271"/>
      <c r="E127" s="271"/>
      <c r="F127" s="271"/>
      <c r="G127" s="271"/>
    </row>
    <row r="128" spans="3:7" ht="15.6">
      <c r="C128" s="270"/>
      <c r="D128" s="271"/>
      <c r="E128" s="271"/>
      <c r="F128" s="271"/>
      <c r="G128" s="271"/>
    </row>
    <row r="129" spans="3:7" ht="15.6">
      <c r="C129" s="270"/>
      <c r="D129" s="271"/>
      <c r="E129" s="271"/>
      <c r="F129" s="271"/>
      <c r="G129" s="271"/>
    </row>
    <row r="130" spans="3:7" ht="15.6">
      <c r="C130" s="270"/>
      <c r="D130" s="271"/>
      <c r="E130" s="271"/>
      <c r="F130" s="271"/>
      <c r="G130" s="271"/>
    </row>
    <row r="131" spans="3:7" ht="15.6">
      <c r="C131" s="270"/>
      <c r="D131" s="271"/>
      <c r="E131" s="271"/>
      <c r="F131" s="271"/>
      <c r="G131" s="271"/>
    </row>
    <row r="132" spans="3:7" ht="15.6">
      <c r="C132" s="270"/>
      <c r="D132" s="271"/>
      <c r="E132" s="271"/>
      <c r="F132" s="271"/>
      <c r="G132" s="271"/>
    </row>
    <row r="133" spans="3:7" ht="15.6">
      <c r="C133" s="270"/>
      <c r="D133" s="271"/>
      <c r="E133" s="271"/>
      <c r="F133" s="271"/>
      <c r="G133" s="271"/>
    </row>
    <row r="134" spans="3:7" ht="15.6">
      <c r="C134" s="270"/>
      <c r="D134" s="271"/>
      <c r="E134" s="271"/>
      <c r="F134" s="271"/>
      <c r="G134" s="271"/>
    </row>
    <row r="135" spans="3:7" ht="15.6">
      <c r="C135" s="270"/>
      <c r="D135" s="271"/>
      <c r="E135" s="271"/>
      <c r="F135" s="271"/>
      <c r="G135" s="271"/>
    </row>
    <row r="136" spans="3:7" ht="15.6">
      <c r="C136" s="270"/>
      <c r="D136" s="271"/>
      <c r="E136" s="271"/>
      <c r="F136" s="271"/>
      <c r="G136" s="271"/>
    </row>
    <row r="137" spans="3:7" ht="15.6">
      <c r="C137" s="270"/>
      <c r="D137" s="271"/>
      <c r="E137" s="271"/>
      <c r="F137" s="271"/>
      <c r="G137" s="271"/>
    </row>
    <row r="138" spans="3:7" ht="15.6">
      <c r="C138" s="270"/>
      <c r="D138" s="271"/>
      <c r="E138" s="271"/>
      <c r="F138" s="271"/>
      <c r="G138" s="271"/>
    </row>
    <row r="139" spans="3:7" ht="40.5" customHeight="1">
      <c r="C139" s="270"/>
      <c r="D139" s="271"/>
      <c r="E139" s="271"/>
      <c r="F139" s="271"/>
      <c r="G139" s="271"/>
    </row>
    <row r="140" spans="3:7" ht="15.6">
      <c r="C140" s="270"/>
      <c r="D140" s="271"/>
      <c r="E140" s="271"/>
      <c r="F140" s="271"/>
      <c r="G140" s="271"/>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workbookViewId="0">
      <selection activeCell="A257" sqref="A257"/>
    </sheetView>
  </sheetViews>
  <sheetFormatPr defaultColWidth="8.7265625" defaultRowHeight="13.2"/>
  <cols>
    <col min="1" max="1" width="4.26953125" style="103" customWidth="1"/>
    <col min="2" max="2" width="47.81640625" style="103" customWidth="1"/>
    <col min="3" max="3" width="39.08984375" style="103" customWidth="1"/>
    <col min="4" max="4" width="11.26953125" style="103" bestFit="1" customWidth="1"/>
    <col min="5" max="5" width="4.08984375" style="103" customWidth="1"/>
    <col min="6" max="6" width="3.26953125" style="103" customWidth="1"/>
    <col min="7" max="7" width="6.453125" style="103" customWidth="1"/>
    <col min="8" max="8" width="3.7265625" style="103" bestFit="1" customWidth="1"/>
    <col min="9" max="9" width="12.453125" style="103" customWidth="1"/>
    <col min="10" max="10" width="1.453125" style="103" customWidth="1"/>
    <col min="11" max="11" width="6.7265625" style="103" customWidth="1"/>
    <col min="12" max="12" width="8.7265625" style="103"/>
    <col min="13" max="14" width="10.7265625" style="103" customWidth="1"/>
    <col min="15" max="16" width="8.7265625" style="103"/>
    <col min="17" max="17" width="10.26953125" style="103" customWidth="1"/>
    <col min="18" max="18" width="8.7265625" style="103"/>
    <col min="19" max="19" width="10.26953125" style="103" customWidth="1"/>
    <col min="20" max="16384" width="8.7265625" style="103"/>
  </cols>
  <sheetData>
    <row r="1" spans="1:11">
      <c r="B1" s="71"/>
      <c r="C1" s="71"/>
      <c r="D1" s="104"/>
      <c r="E1" s="71"/>
      <c r="F1" s="71"/>
      <c r="G1" s="71"/>
      <c r="H1" s="71"/>
      <c r="I1" s="774" t="s">
        <v>480</v>
      </c>
      <c r="J1" s="774"/>
      <c r="K1" s="774"/>
    </row>
    <row r="2" spans="1:11">
      <c r="B2" s="71"/>
      <c r="C2" s="71"/>
      <c r="D2" s="104"/>
      <c r="E2" s="71"/>
      <c r="F2" s="71"/>
      <c r="G2" s="71"/>
      <c r="H2" s="71"/>
      <c r="I2" s="71"/>
      <c r="J2" s="773" t="s">
        <v>241</v>
      </c>
      <c r="K2" s="773"/>
    </row>
    <row r="3" spans="1:11">
      <c r="B3" s="71"/>
      <c r="C3" s="71"/>
      <c r="D3" s="104"/>
      <c r="E3" s="71"/>
      <c r="F3" s="71"/>
      <c r="G3" s="71"/>
      <c r="H3" s="71"/>
      <c r="I3" s="71"/>
      <c r="J3" s="71"/>
      <c r="K3" s="105"/>
    </row>
    <row r="4" spans="1:11">
      <c r="B4" s="104" t="s">
        <v>0</v>
      </c>
      <c r="C4" s="78" t="s">
        <v>122</v>
      </c>
      <c r="E4" s="71"/>
      <c r="F4" s="71"/>
      <c r="G4" s="71"/>
      <c r="H4" s="71"/>
      <c r="I4" s="71"/>
      <c r="J4" s="71"/>
      <c r="K4" s="106" t="s">
        <v>1221</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962</v>
      </c>
      <c r="C10" s="71"/>
      <c r="D10" s="107"/>
      <c r="E10" s="71"/>
      <c r="F10" s="71"/>
      <c r="G10" s="71"/>
      <c r="H10" s="71"/>
      <c r="I10" s="112">
        <f>'Proj Att-H'!I151</f>
        <v>12989142.707092509</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906</v>
      </c>
      <c r="D13" s="174">
        <f>'Act Att-H'!D13</f>
        <v>80644.325484651577</v>
      </c>
      <c r="E13" s="107"/>
      <c r="F13" s="107"/>
      <c r="G13" s="114">
        <v>1</v>
      </c>
      <c r="H13" s="107"/>
      <c r="I13" s="63">
        <f>+G13*D13</f>
        <v>80644.325484651577</v>
      </c>
      <c r="J13" s="71"/>
      <c r="K13" s="71"/>
    </row>
    <row r="14" spans="1:11">
      <c r="A14" s="78">
        <v>3</v>
      </c>
      <c r="B14" s="71" t="s">
        <v>110</v>
      </c>
      <c r="C14" s="107" t="s">
        <v>907</v>
      </c>
      <c r="D14" s="174">
        <f>'Act Att-H'!D14</f>
        <v>44</v>
      </c>
      <c r="E14" s="107"/>
      <c r="F14" s="115"/>
      <c r="G14" s="114">
        <v>1</v>
      </c>
      <c r="H14" s="107"/>
      <c r="I14" s="63">
        <f>+G14*D14</f>
        <v>44</v>
      </c>
      <c r="J14" s="71"/>
      <c r="K14" s="71"/>
    </row>
    <row r="15" spans="1:11">
      <c r="A15" s="78">
        <v>4</v>
      </c>
      <c r="B15" s="2" t="s">
        <v>569</v>
      </c>
      <c r="C15" s="2"/>
      <c r="D15" s="177"/>
      <c r="E15" s="107"/>
      <c r="F15" s="115"/>
      <c r="G15" s="178"/>
      <c r="H15" s="107"/>
      <c r="I15" s="63"/>
      <c r="J15" s="71"/>
      <c r="K15" s="71"/>
    </row>
    <row r="16" spans="1:11" ht="13.8" thickBot="1">
      <c r="A16" s="78">
        <v>5</v>
      </c>
      <c r="B16" s="2" t="s">
        <v>569</v>
      </c>
      <c r="C16" s="2"/>
      <c r="D16" s="177"/>
      <c r="E16" s="107"/>
      <c r="F16" s="115"/>
      <c r="G16" s="178"/>
      <c r="H16" s="107"/>
      <c r="I16" s="64"/>
      <c r="J16" s="71"/>
      <c r="K16" s="71"/>
    </row>
    <row r="17" spans="1:11">
      <c r="A17" s="78">
        <v>6</v>
      </c>
      <c r="B17" s="71" t="s">
        <v>91</v>
      </c>
      <c r="C17" s="71"/>
      <c r="D17" s="117" t="s">
        <v>2</v>
      </c>
      <c r="E17" s="107"/>
      <c r="F17" s="107"/>
      <c r="G17" s="118"/>
      <c r="H17" s="107"/>
      <c r="I17" s="63">
        <f>SUM(I13:I16)</f>
        <v>80688.325484651577</v>
      </c>
      <c r="J17" s="71"/>
      <c r="K17" s="71"/>
    </row>
    <row r="18" spans="1:11">
      <c r="A18" s="78"/>
      <c r="B18" s="71"/>
      <c r="C18" s="71"/>
      <c r="I18" s="63"/>
      <c r="J18" s="71"/>
      <c r="K18" s="71"/>
    </row>
    <row r="19" spans="1:11">
      <c r="A19" s="78" t="s">
        <v>126</v>
      </c>
      <c r="B19" s="71" t="s">
        <v>155</v>
      </c>
      <c r="C19" s="71" t="s">
        <v>909</v>
      </c>
      <c r="I19" s="174">
        <f>'TU-TrueUp'!H58</f>
        <v>-4654469</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8253985.3816078566</v>
      </c>
      <c r="J21" s="71"/>
      <c r="K21" s="71"/>
    </row>
    <row r="22" spans="1:11" ht="13.8" thickTop="1">
      <c r="A22" s="78"/>
      <c r="B22" s="71"/>
      <c r="C22" s="71"/>
      <c r="D22" s="117"/>
      <c r="E22" s="107"/>
      <c r="F22" s="107"/>
      <c r="G22" s="107"/>
      <c r="H22" s="107"/>
      <c r="I22" s="422"/>
      <c r="J22" s="71"/>
      <c r="K22" s="71"/>
    </row>
    <row r="23" spans="1:11">
      <c r="A23" s="78" t="s">
        <v>765</v>
      </c>
      <c r="B23" s="71" t="s">
        <v>766</v>
      </c>
      <c r="C23" s="71" t="s">
        <v>767</v>
      </c>
      <c r="D23" s="117"/>
      <c r="E23" s="107"/>
      <c r="F23" s="107"/>
      <c r="G23" s="107"/>
      <c r="H23" s="107"/>
      <c r="I23" s="120">
        <f>I21-I19</f>
        <v>12908454.381607857</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908</v>
      </c>
      <c r="D26" s="107"/>
      <c r="E26" s="71"/>
      <c r="F26" s="71"/>
      <c r="G26" s="71"/>
      <c r="H26" s="71"/>
      <c r="I26" s="174" t="e">
        <f>'P3-Divisor'!G24</f>
        <v>#DIV/0!</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7" t="e">
        <f>ROUND(I21/I26,2)</f>
        <v>#DIV/0!</v>
      </c>
      <c r="E29" s="71" t="s">
        <v>245</v>
      </c>
      <c r="F29" s="107"/>
      <c r="G29" s="107"/>
      <c r="H29" s="107"/>
      <c r="I29" s="107"/>
      <c r="J29" s="107"/>
      <c r="K29" s="71"/>
    </row>
    <row r="30" spans="1:11">
      <c r="A30" s="78">
        <v>12</v>
      </c>
      <c r="B30" s="71" t="s">
        <v>257</v>
      </c>
      <c r="C30" s="71" t="s">
        <v>788</v>
      </c>
      <c r="D30" s="577" t="e">
        <f>ROUND(D29/12,2)</f>
        <v>#DIV/0!</v>
      </c>
      <c r="E30" s="71" t="s">
        <v>246</v>
      </c>
      <c r="F30" s="107"/>
      <c r="G30" s="107"/>
      <c r="H30" s="107"/>
      <c r="I30" s="107"/>
      <c r="J30" s="107"/>
      <c r="K30" s="71"/>
    </row>
    <row r="31" spans="1:11">
      <c r="A31" s="78">
        <v>13</v>
      </c>
      <c r="B31" s="71" t="s">
        <v>258</v>
      </c>
      <c r="C31" s="71" t="s">
        <v>789</v>
      </c>
      <c r="D31" s="577" t="e">
        <f>ROUND(D29/52,2)</f>
        <v>#DIV/0!</v>
      </c>
      <c r="E31" s="71" t="s">
        <v>247</v>
      </c>
      <c r="F31" s="107"/>
      <c r="G31" s="107"/>
      <c r="H31" s="107"/>
      <c r="I31" s="107"/>
      <c r="J31" s="107"/>
      <c r="K31" s="71"/>
    </row>
    <row r="32" spans="1:11">
      <c r="A32" s="78">
        <v>14</v>
      </c>
      <c r="B32" s="71" t="s">
        <v>259</v>
      </c>
      <c r="C32" s="71" t="s">
        <v>248</v>
      </c>
      <c r="D32" s="578" t="e">
        <f>+D31/6</f>
        <v>#DIV/0!</v>
      </c>
      <c r="E32" s="71" t="s">
        <v>249</v>
      </c>
      <c r="F32" s="107"/>
      <c r="G32" s="107"/>
      <c r="H32" s="107"/>
      <c r="I32" s="107"/>
      <c r="J32" s="107"/>
      <c r="K32" s="71"/>
    </row>
    <row r="33" spans="1:11">
      <c r="A33" s="78">
        <v>15</v>
      </c>
      <c r="B33" s="71" t="s">
        <v>260</v>
      </c>
      <c r="C33" s="71" t="s">
        <v>250</v>
      </c>
      <c r="D33" s="578" t="e">
        <f>+D31/7</f>
        <v>#DIV/0!</v>
      </c>
      <c r="E33" s="71" t="s">
        <v>249</v>
      </c>
      <c r="F33" s="107"/>
      <c r="G33" s="107"/>
      <c r="H33" s="107"/>
      <c r="I33" s="107"/>
      <c r="J33" s="107"/>
      <c r="K33" s="71"/>
    </row>
    <row r="34" spans="1:11">
      <c r="A34" s="78">
        <v>16</v>
      </c>
      <c r="B34" s="71" t="s">
        <v>261</v>
      </c>
      <c r="C34" s="71" t="s">
        <v>251</v>
      </c>
      <c r="D34" s="577" t="e">
        <f>+D32/16*1000</f>
        <v>#DIV/0!</v>
      </c>
      <c r="E34" s="71" t="s">
        <v>895</v>
      </c>
      <c r="F34" s="107"/>
      <c r="G34" s="107"/>
      <c r="H34" s="107"/>
      <c r="I34" s="107"/>
      <c r="J34" s="107"/>
      <c r="K34" s="71"/>
    </row>
    <row r="35" spans="1:11">
      <c r="A35" s="78">
        <v>17</v>
      </c>
      <c r="B35" s="71" t="s">
        <v>262</v>
      </c>
      <c r="C35" s="71" t="s">
        <v>252</v>
      </c>
      <c r="D35" s="577" t="e">
        <f>+D33/24*1000</f>
        <v>#DIV/0!</v>
      </c>
      <c r="E35" s="71" t="s">
        <v>895</v>
      </c>
      <c r="F35" s="107"/>
      <c r="G35" s="107"/>
      <c r="H35" s="107"/>
      <c r="I35" s="107"/>
      <c r="J35" s="107"/>
      <c r="K35" s="71"/>
    </row>
    <row r="36" spans="1:11">
      <c r="B36" s="71"/>
      <c r="C36" s="71"/>
      <c r="D36" s="104"/>
      <c r="E36" s="71"/>
      <c r="F36" s="71"/>
      <c r="G36" s="71"/>
      <c r="H36" s="71"/>
      <c r="I36" s="774" t="str">
        <f>I1</f>
        <v>Projected Attachment H</v>
      </c>
      <c r="J36" s="774"/>
      <c r="K36" s="774"/>
    </row>
    <row r="37" spans="1:11">
      <c r="B37" s="71"/>
      <c r="C37" s="71"/>
      <c r="D37" s="104"/>
      <c r="E37" s="71"/>
      <c r="F37" s="71"/>
      <c r="G37" s="71"/>
      <c r="H37" s="71"/>
      <c r="I37" s="71"/>
      <c r="J37" s="773" t="s">
        <v>242</v>
      </c>
      <c r="K37" s="773"/>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12/31/yyyy</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573</v>
      </c>
      <c r="C47" s="107"/>
      <c r="D47" s="107"/>
      <c r="E47" s="107"/>
      <c r="F47" s="107"/>
      <c r="G47" s="107"/>
      <c r="H47" s="107"/>
      <c r="I47" s="107"/>
      <c r="J47" s="107"/>
      <c r="K47" s="107"/>
    </row>
    <row r="48" spans="1:11">
      <c r="A48" s="78"/>
      <c r="B48" s="71" t="s">
        <v>639</v>
      </c>
      <c r="C48" s="107"/>
      <c r="D48" s="107"/>
      <c r="E48" s="107"/>
      <c r="F48" s="107"/>
      <c r="G48" s="107"/>
      <c r="H48" s="107"/>
      <c r="I48" s="107"/>
      <c r="J48" s="107"/>
      <c r="K48" s="107"/>
    </row>
    <row r="49" spans="1:11">
      <c r="A49" s="78">
        <v>1</v>
      </c>
      <c r="B49" s="71" t="s">
        <v>28</v>
      </c>
      <c r="C49" s="51" t="s">
        <v>1209</v>
      </c>
      <c r="D49" s="280">
        <f>'P1-Trans Plant'!H44</f>
        <v>109401329.69000004</v>
      </c>
      <c r="E49" s="107"/>
      <c r="F49" s="107" t="s">
        <v>11</v>
      </c>
      <c r="G49" s="131">
        <f>$I$170</f>
        <v>0.94993800079121415</v>
      </c>
      <c r="H49" s="107"/>
      <c r="I49" s="63">
        <f>+G49*D49</f>
        <v>103924480.40961914</v>
      </c>
      <c r="J49" s="107"/>
      <c r="K49" s="107"/>
    </row>
    <row r="50" spans="1:11">
      <c r="A50" s="78">
        <v>2</v>
      </c>
      <c r="B50" s="71" t="s">
        <v>30</v>
      </c>
      <c r="C50" s="71" t="s">
        <v>778</v>
      </c>
      <c r="D50" s="280">
        <f>'A4-Rate Base'!F22</f>
        <v>21617201.75</v>
      </c>
      <c r="E50" s="107"/>
      <c r="F50" s="107" t="s">
        <v>31</v>
      </c>
      <c r="G50" s="131">
        <f>$I$187</f>
        <v>7.0964263854582682E-2</v>
      </c>
      <c r="H50" s="107"/>
      <c r="I50" s="63">
        <f>+G50*D50</f>
        <v>1534048.8087847466</v>
      </c>
      <c r="J50" s="107"/>
      <c r="K50" s="107"/>
    </row>
    <row r="51" spans="1:11">
      <c r="A51" s="78">
        <v>3</v>
      </c>
      <c r="B51" s="71" t="s">
        <v>364</v>
      </c>
      <c r="C51" s="179" t="s">
        <v>621</v>
      </c>
      <c r="D51" s="586">
        <f>SUM(D49:D50)</f>
        <v>131018531.44000004</v>
      </c>
      <c r="E51" s="107"/>
      <c r="F51" s="107" t="s">
        <v>37</v>
      </c>
      <c r="G51" s="131">
        <f>$G$234</f>
        <v>0.14296032413129539</v>
      </c>
      <c r="H51" s="107"/>
      <c r="I51" s="184">
        <f>SUM(I49:I50)</f>
        <v>105458529.21840389</v>
      </c>
      <c r="J51" s="107"/>
      <c r="K51" s="133"/>
    </row>
    <row r="52" spans="1:11">
      <c r="B52" s="71"/>
      <c r="C52" s="107"/>
      <c r="D52" s="107"/>
      <c r="E52" s="107"/>
      <c r="F52" s="107"/>
      <c r="G52" s="131"/>
      <c r="H52" s="107"/>
      <c r="I52" s="59"/>
      <c r="J52" s="107"/>
      <c r="K52" s="133"/>
    </row>
    <row r="53" spans="1:11">
      <c r="B53" s="71" t="s">
        <v>640</v>
      </c>
      <c r="C53" s="107"/>
      <c r="D53" s="107"/>
      <c r="E53" s="107"/>
      <c r="F53" s="107"/>
      <c r="G53" s="131"/>
      <c r="H53" s="107"/>
      <c r="I53" s="107"/>
      <c r="J53" s="107"/>
      <c r="K53" s="107"/>
    </row>
    <row r="54" spans="1:11">
      <c r="A54" s="78">
        <v>4</v>
      </c>
      <c r="B54" s="134" t="str">
        <f>+B49</f>
        <v xml:space="preserve">  Transmission</v>
      </c>
      <c r="C54" s="51" t="s">
        <v>1210</v>
      </c>
      <c r="D54" s="280">
        <f>'P1-Trans Plant'!J44</f>
        <v>12148446.081850164</v>
      </c>
      <c r="E54" s="107"/>
      <c r="F54" s="115" t="str">
        <f>+F49</f>
        <v>TP</v>
      </c>
      <c r="G54" s="131">
        <f>$I$170</f>
        <v>0.94993800079121415</v>
      </c>
      <c r="H54" s="107"/>
      <c r="I54" s="63">
        <f>+G54*D54</f>
        <v>11540270.583712604</v>
      </c>
      <c r="J54" s="107"/>
      <c r="K54" s="107"/>
    </row>
    <row r="55" spans="1:11">
      <c r="A55" s="78">
        <v>5</v>
      </c>
      <c r="B55" s="134" t="str">
        <f>+B50</f>
        <v xml:space="preserve">  General &amp; Intangible</v>
      </c>
      <c r="C55" s="71" t="s">
        <v>779</v>
      </c>
      <c r="D55" s="280">
        <f>'A4-Rate Base'!H45</f>
        <v>5259787.62</v>
      </c>
      <c r="E55" s="107"/>
      <c r="F55" s="115" t="str">
        <f>+F50</f>
        <v>W/S</v>
      </c>
      <c r="G55" s="131">
        <f>$I$187</f>
        <v>7.0964263854582682E-2</v>
      </c>
      <c r="H55" s="107"/>
      <c r="I55" s="63">
        <f>+G55*D55</f>
        <v>373256.95648474747</v>
      </c>
      <c r="J55" s="107"/>
      <c r="K55" s="107"/>
    </row>
    <row r="56" spans="1:11">
      <c r="A56" s="78">
        <v>6</v>
      </c>
      <c r="B56" s="71" t="s">
        <v>366</v>
      </c>
      <c r="C56" s="179" t="s">
        <v>621</v>
      </c>
      <c r="D56" s="586">
        <f>SUM(D54:D55)</f>
        <v>17408233.701850165</v>
      </c>
      <c r="E56" s="107"/>
      <c r="F56" s="107"/>
      <c r="G56" s="131"/>
      <c r="H56" s="107"/>
      <c r="I56" s="184">
        <f>SUM(I54:I55)</f>
        <v>11913527.540197352</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624</v>
      </c>
      <c r="D59" s="587">
        <f>D49-D54</f>
        <v>97252883.608149886</v>
      </c>
      <c r="E59" s="107"/>
      <c r="F59" s="107"/>
      <c r="G59" s="131"/>
      <c r="H59" s="107"/>
      <c r="I59" s="63">
        <f>I49-I54</f>
        <v>92384209.82590653</v>
      </c>
      <c r="J59" s="107"/>
      <c r="K59" s="133"/>
    </row>
    <row r="60" spans="1:11">
      <c r="A60" s="78">
        <v>8</v>
      </c>
      <c r="B60" s="134" t="str">
        <f>+B55</f>
        <v xml:space="preserve">  General &amp; Intangible</v>
      </c>
      <c r="C60" s="52" t="s">
        <v>623</v>
      </c>
      <c r="D60" s="587">
        <f>D50-D55</f>
        <v>16357414.129999999</v>
      </c>
      <c r="E60" s="107"/>
      <c r="F60" s="107"/>
      <c r="G60" s="131"/>
      <c r="H60" s="107"/>
      <c r="I60" s="63">
        <f>I50-I55</f>
        <v>1160791.852299999</v>
      </c>
      <c r="J60" s="107"/>
      <c r="K60" s="133"/>
    </row>
    <row r="61" spans="1:11">
      <c r="A61" s="78">
        <v>9</v>
      </c>
      <c r="B61" s="71" t="s">
        <v>368</v>
      </c>
      <c r="C61" s="179" t="s">
        <v>622</v>
      </c>
      <c r="D61" s="588">
        <f>SUM(D59:D60)</f>
        <v>113610297.73814988</v>
      </c>
      <c r="E61" s="107"/>
      <c r="F61" s="107" t="s">
        <v>34</v>
      </c>
      <c r="G61" s="131">
        <f>$G$242</f>
        <v>0.16145444647335869</v>
      </c>
      <c r="H61" s="107"/>
      <c r="I61" s="184">
        <f>SUM(I59:I60)</f>
        <v>93545001.678206533</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700</v>
      </c>
      <c r="D63" s="280">
        <f>'A4-Rate Base'!H23</f>
        <v>0</v>
      </c>
      <c r="E63" s="58"/>
      <c r="F63" s="73"/>
      <c r="G63" s="652"/>
      <c r="H63" s="58"/>
      <c r="I63" s="60">
        <f>+G63*D63</f>
        <v>0</v>
      </c>
      <c r="J63" s="52"/>
      <c r="K63" s="52"/>
    </row>
    <row r="64" spans="1:11" s="2" customFormat="1">
      <c r="A64" s="53"/>
      <c r="B64" s="61"/>
      <c r="C64" s="52"/>
      <c r="D64" s="55"/>
      <c r="E64" s="52"/>
      <c r="F64" s="61"/>
      <c r="G64" s="131"/>
      <c r="H64" s="52"/>
      <c r="I64" s="55"/>
      <c r="J64" s="52"/>
      <c r="K64" s="62"/>
    </row>
    <row r="65" spans="1:11">
      <c r="A65" s="78"/>
      <c r="B65" s="71" t="s">
        <v>464</v>
      </c>
      <c r="C65" s="107"/>
      <c r="D65" s="107"/>
      <c r="E65" s="107"/>
      <c r="F65" s="107"/>
      <c r="G65" s="131"/>
      <c r="H65" s="107"/>
      <c r="I65" s="107"/>
      <c r="J65" s="107"/>
      <c r="K65" s="107"/>
    </row>
    <row r="66" spans="1:11">
      <c r="A66" s="53">
        <v>11</v>
      </c>
      <c r="B66" s="134" t="s">
        <v>1091</v>
      </c>
      <c r="C66" s="71" t="s">
        <v>1031</v>
      </c>
      <c r="D66" s="280">
        <f>'P5-ADIT'!J72</f>
        <v>0</v>
      </c>
      <c r="E66" s="52"/>
      <c r="F66" s="52" t="s">
        <v>37</v>
      </c>
      <c r="G66" s="131">
        <f>$G$234</f>
        <v>0.14296032413129539</v>
      </c>
      <c r="H66" s="51"/>
      <c r="I66" s="55">
        <f>D66*G66</f>
        <v>0</v>
      </c>
      <c r="J66" s="107"/>
      <c r="K66" s="133"/>
    </row>
    <row r="67" spans="1:11">
      <c r="A67" s="53">
        <v>12</v>
      </c>
      <c r="B67" s="134" t="s">
        <v>1098</v>
      </c>
      <c r="C67" s="71" t="s">
        <v>1032</v>
      </c>
      <c r="D67" s="280">
        <f>'P5-ADIT'!J106</f>
        <v>-10675505.612141849</v>
      </c>
      <c r="E67" s="52"/>
      <c r="F67" s="52" t="s">
        <v>11</v>
      </c>
      <c r="G67" s="131">
        <f>$I$170</f>
        <v>0.94993800079121415</v>
      </c>
      <c r="H67" s="51"/>
      <c r="I67" s="55">
        <f>D67*G67</f>
        <v>-10141068.458633415</v>
      </c>
      <c r="J67" s="107"/>
      <c r="K67" s="133"/>
    </row>
    <row r="68" spans="1:11">
      <c r="A68" s="53">
        <v>13</v>
      </c>
      <c r="B68" s="134" t="s">
        <v>1099</v>
      </c>
      <c r="C68" s="71" t="s">
        <v>1033</v>
      </c>
      <c r="D68" s="280">
        <f>'P5-ADIT'!J140</f>
        <v>-1455065.5</v>
      </c>
      <c r="E68" s="52"/>
      <c r="F68" s="52" t="s">
        <v>37</v>
      </c>
      <c r="G68" s="131">
        <f>$G$234</f>
        <v>0.14296032413129539</v>
      </c>
      <c r="H68" s="51"/>
      <c r="I68" s="55">
        <f>D68*G68</f>
        <v>-208016.63551226541</v>
      </c>
      <c r="J68" s="107"/>
      <c r="K68" s="133"/>
    </row>
    <row r="69" spans="1:11">
      <c r="A69" s="53">
        <v>14</v>
      </c>
      <c r="B69" s="54" t="s">
        <v>136</v>
      </c>
      <c r="C69" s="71" t="s">
        <v>1016</v>
      </c>
      <c r="D69" s="280">
        <f>'P5-ADIT'!J28</f>
        <v>25144204</v>
      </c>
      <c r="E69" s="52"/>
      <c r="F69" s="52" t="s">
        <v>37</v>
      </c>
      <c r="G69" s="131">
        <f>$G$234</f>
        <v>0.14296032413129539</v>
      </c>
      <c r="H69" s="51"/>
      <c r="I69" s="63">
        <f>D69*G69</f>
        <v>3594623.5538634141</v>
      </c>
      <c r="J69" s="107"/>
      <c r="K69" s="133"/>
    </row>
    <row r="70" spans="1:11">
      <c r="A70" s="53" t="s">
        <v>1018</v>
      </c>
      <c r="B70" s="54" t="s">
        <v>1019</v>
      </c>
      <c r="C70" s="71" t="s">
        <v>1017</v>
      </c>
      <c r="D70" s="280">
        <f>'P5-ADIT'!J35</f>
        <v>0</v>
      </c>
      <c r="E70" s="52"/>
      <c r="F70" s="52"/>
      <c r="G70" s="131"/>
      <c r="H70" s="51"/>
      <c r="I70" s="63">
        <f>D70</f>
        <v>0</v>
      </c>
      <c r="J70" s="107"/>
      <c r="K70" s="133"/>
    </row>
    <row r="71" spans="1:11">
      <c r="A71" s="53">
        <v>15</v>
      </c>
      <c r="B71" s="61" t="s">
        <v>999</v>
      </c>
      <c r="C71" s="71"/>
      <c r="D71" s="587">
        <v>0</v>
      </c>
      <c r="E71" s="52"/>
      <c r="F71" s="52"/>
      <c r="G71" s="131"/>
      <c r="H71" s="51"/>
      <c r="I71" s="59">
        <f>D71*G71</f>
        <v>0</v>
      </c>
      <c r="J71" s="107"/>
      <c r="K71" s="133"/>
    </row>
    <row r="72" spans="1:11">
      <c r="A72" s="53">
        <v>16</v>
      </c>
      <c r="B72" s="57" t="s">
        <v>371</v>
      </c>
      <c r="C72" s="71" t="s">
        <v>1096</v>
      </c>
      <c r="D72" s="280">
        <f>'A4-Rate Base'!C69</f>
        <v>0</v>
      </c>
      <c r="E72" s="58"/>
      <c r="F72" s="73"/>
      <c r="G72" s="652"/>
      <c r="H72" s="58"/>
      <c r="I72" s="60">
        <f>D72*G72</f>
        <v>0</v>
      </c>
      <c r="J72" s="107"/>
      <c r="K72" s="133"/>
    </row>
    <row r="73" spans="1:11">
      <c r="A73" s="53">
        <v>17</v>
      </c>
      <c r="B73" s="57" t="s">
        <v>372</v>
      </c>
      <c r="C73" s="71" t="s">
        <v>1097</v>
      </c>
      <c r="D73" s="280">
        <f>'A4-Rate Base'!D69</f>
        <v>0</v>
      </c>
      <c r="E73" s="58"/>
      <c r="F73" s="73"/>
      <c r="G73" s="652"/>
      <c r="H73" s="58"/>
      <c r="I73" s="60">
        <f>D73*G73</f>
        <v>0</v>
      </c>
      <c r="J73" s="107"/>
      <c r="K73" s="133"/>
    </row>
    <row r="74" spans="1:11">
      <c r="A74" s="53">
        <v>18</v>
      </c>
      <c r="B74" s="57" t="s">
        <v>374</v>
      </c>
      <c r="C74" s="71" t="s">
        <v>620</v>
      </c>
      <c r="D74" s="280">
        <f>'Act Att-H'!D78</f>
        <v>0</v>
      </c>
      <c r="E74" s="58"/>
      <c r="F74" s="58"/>
      <c r="G74" s="131"/>
      <c r="H74" s="58"/>
      <c r="I74" s="60">
        <f t="shared" ref="I74" si="0">D74</f>
        <v>0</v>
      </c>
      <c r="J74" s="107"/>
      <c r="K74" s="133"/>
    </row>
    <row r="75" spans="1:11">
      <c r="A75" s="53">
        <v>19</v>
      </c>
      <c r="B75" s="134" t="s">
        <v>137</v>
      </c>
      <c r="C75" s="71" t="s">
        <v>619</v>
      </c>
      <c r="D75" s="280">
        <f>'Act Att-H'!D79</f>
        <v>145932.04499999998</v>
      </c>
      <c r="E75" s="107"/>
      <c r="F75" s="52" t="s">
        <v>37</v>
      </c>
      <c r="G75" s="131">
        <f>$G$234</f>
        <v>0.14296032413129539</v>
      </c>
      <c r="H75" s="107"/>
      <c r="I75" s="60">
        <f t="shared" ref="I75" si="1">D75*G75</f>
        <v>20862.492454342784</v>
      </c>
      <c r="J75" s="107"/>
      <c r="K75" s="133"/>
    </row>
    <row r="76" spans="1:11" ht="13.8" thickBot="1">
      <c r="A76" s="78">
        <v>20</v>
      </c>
      <c r="B76" s="134" t="s">
        <v>1202</v>
      </c>
      <c r="C76" s="71" t="s">
        <v>1001</v>
      </c>
      <c r="D76" s="280">
        <f>'P5-ADIT'!J175</f>
        <v>0</v>
      </c>
      <c r="E76" s="107"/>
      <c r="F76" s="107"/>
      <c r="G76" s="107"/>
      <c r="H76" s="107"/>
      <c r="I76" s="64">
        <f>D76</f>
        <v>0</v>
      </c>
      <c r="J76" s="107"/>
      <c r="K76" s="133"/>
    </row>
    <row r="77" spans="1:11">
      <c r="A77" s="78">
        <v>21</v>
      </c>
      <c r="B77" s="71" t="s">
        <v>380</v>
      </c>
      <c r="C77" s="179" t="s">
        <v>1071</v>
      </c>
      <c r="D77" s="586">
        <f>SUM(D66:D76)</f>
        <v>13159564.93285815</v>
      </c>
      <c r="E77" s="107"/>
      <c r="F77" s="107"/>
      <c r="G77" s="131"/>
      <c r="H77" s="107"/>
      <c r="I77" s="63">
        <f>SUM(I66:I76)</f>
        <v>-6733599.0478279255</v>
      </c>
      <c r="J77" s="107"/>
      <c r="K77" s="107"/>
    </row>
    <row r="78" spans="1:11">
      <c r="A78" s="78"/>
      <c r="C78" s="107"/>
      <c r="E78" s="107"/>
      <c r="F78" s="107"/>
      <c r="G78" s="131"/>
      <c r="H78" s="107"/>
      <c r="J78" s="107"/>
      <c r="K78" s="133"/>
    </row>
    <row r="79" spans="1:11">
      <c r="A79" s="78">
        <v>22</v>
      </c>
      <c r="B79" s="71" t="s">
        <v>35</v>
      </c>
      <c r="C79" s="71" t="s">
        <v>780</v>
      </c>
      <c r="D79" s="280">
        <f>'A4-Rate Base'!I22</f>
        <v>318000</v>
      </c>
      <c r="E79" s="107"/>
      <c r="F79" s="115" t="str">
        <f>+F54</f>
        <v>TP</v>
      </c>
      <c r="G79" s="131">
        <f>$I$170</f>
        <v>0.94993800079121415</v>
      </c>
      <c r="H79" s="107"/>
      <c r="I79" s="63">
        <f>+G79*D79</f>
        <v>302080.28425160609</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625</v>
      </c>
      <c r="D82" s="587">
        <f>D112/8</f>
        <v>2457387.0721771913</v>
      </c>
      <c r="E82" s="107"/>
      <c r="F82" s="107"/>
      <c r="G82" s="131"/>
      <c r="H82" s="107"/>
      <c r="I82" s="63">
        <f>I112/8</f>
        <v>248684.04966019359</v>
      </c>
      <c r="J82" s="71"/>
      <c r="K82" s="133"/>
    </row>
    <row r="83" spans="1:11">
      <c r="A83" s="78">
        <v>24</v>
      </c>
      <c r="B83" s="71" t="s">
        <v>143</v>
      </c>
      <c r="C83" s="69" t="s">
        <v>981</v>
      </c>
      <c r="D83" s="280">
        <f>'A4-Rate Base'!F107</f>
        <v>60207.051094273898</v>
      </c>
      <c r="E83" s="107"/>
      <c r="F83" s="107"/>
      <c r="G83" s="131"/>
      <c r="H83" s="107"/>
      <c r="I83" s="63">
        <f>D83</f>
        <v>60207.051094273898</v>
      </c>
      <c r="J83" s="107" t="s">
        <v>2</v>
      </c>
      <c r="K83" s="133"/>
    </row>
    <row r="84" spans="1:11" ht="13.8" thickBot="1">
      <c r="A84" s="78">
        <v>25</v>
      </c>
      <c r="B84" s="71" t="s">
        <v>138</v>
      </c>
      <c r="C84" s="51" t="s">
        <v>1089</v>
      </c>
      <c r="D84" s="280">
        <f>'A8-Prepmts'!H33</f>
        <v>107157.3187590544</v>
      </c>
      <c r="E84" s="107"/>
      <c r="F84" s="107"/>
      <c r="G84" s="131"/>
      <c r="H84" s="107"/>
      <c r="I84" s="64">
        <f>D84</f>
        <v>107157.3187590544</v>
      </c>
      <c r="J84" s="107"/>
      <c r="K84" s="133"/>
    </row>
    <row r="85" spans="1:11">
      <c r="A85" s="78">
        <v>26</v>
      </c>
      <c r="B85" s="71" t="s">
        <v>378</v>
      </c>
      <c r="C85" s="52"/>
      <c r="D85" s="586">
        <f>D82+D83+D84</f>
        <v>2624751.4420305197</v>
      </c>
      <c r="E85" s="71"/>
      <c r="F85" s="71"/>
      <c r="G85" s="71"/>
      <c r="H85" s="71"/>
      <c r="I85" s="63">
        <f>I82+I83+I84</f>
        <v>416048.41951352189</v>
      </c>
      <c r="J85" s="71"/>
      <c r="K85" s="71"/>
    </row>
    <row r="86" spans="1:11" ht="13.8" thickBot="1">
      <c r="C86" s="107"/>
      <c r="E86" s="107"/>
      <c r="F86" s="107"/>
      <c r="G86" s="107"/>
      <c r="H86" s="107"/>
      <c r="I86" s="135"/>
      <c r="J86" s="107"/>
      <c r="K86" s="107"/>
    </row>
    <row r="87" spans="1:11" ht="13.8" thickBot="1">
      <c r="A87" s="78">
        <v>27</v>
      </c>
      <c r="B87" s="71" t="s">
        <v>570</v>
      </c>
      <c r="C87" s="107"/>
      <c r="D87" s="70">
        <f>+D85+D79+D77+D61</f>
        <v>129712614.11303855</v>
      </c>
      <c r="E87" s="107"/>
      <c r="F87" s="107"/>
      <c r="G87" s="133"/>
      <c r="H87" s="107"/>
      <c r="I87" s="70">
        <f>+I85+I79+I77+I61</f>
        <v>87529531.334143728</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774" t="str">
        <f>I1</f>
        <v>Projected Attachment H</v>
      </c>
      <c r="J89" s="774"/>
      <c r="K89" s="774"/>
    </row>
    <row r="90" spans="1:11">
      <c r="B90" s="71"/>
      <c r="C90" s="71"/>
      <c r="D90" s="104"/>
      <c r="E90" s="71"/>
      <c r="F90" s="71"/>
      <c r="G90" s="71"/>
      <c r="H90" s="71"/>
      <c r="I90" s="71"/>
      <c r="J90" s="773" t="s">
        <v>243</v>
      </c>
      <c r="K90" s="773"/>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12/31/yyyy</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626</v>
      </c>
      <c r="D101" s="280">
        <f>'P2-Exp. &amp; Rev. Credits'!F16</f>
        <v>28349006.530798137</v>
      </c>
      <c r="E101" s="107"/>
      <c r="F101" s="107" t="s">
        <v>36</v>
      </c>
      <c r="G101" s="131">
        <f>$I$179</f>
        <v>0.93696698891188113</v>
      </c>
      <c r="H101" s="107"/>
      <c r="I101" s="63">
        <f>+G101*D101</f>
        <v>26562083.287805185</v>
      </c>
      <c r="J101" s="71"/>
      <c r="K101" s="107"/>
    </row>
    <row r="102" spans="1:11">
      <c r="A102" s="78">
        <v>2</v>
      </c>
      <c r="B102" s="71" t="s">
        <v>144</v>
      </c>
      <c r="C102" s="71" t="s">
        <v>627</v>
      </c>
      <c r="D102" s="280">
        <f>'P2-Exp. &amp; Rev. Credits'!F17</f>
        <v>469959.24881385372</v>
      </c>
      <c r="E102" s="107"/>
      <c r="F102" s="107" t="s">
        <v>36</v>
      </c>
      <c r="G102" s="131">
        <f>$I$179</f>
        <v>0.93696698891188113</v>
      </c>
      <c r="H102" s="107"/>
      <c r="I102" s="55">
        <f t="shared" ref="I102:I111" si="2">+G102*D102</f>
        <v>440336.30227240606</v>
      </c>
      <c r="J102" s="71"/>
      <c r="K102" s="107"/>
    </row>
    <row r="103" spans="1:11">
      <c r="A103" s="78" t="s">
        <v>145</v>
      </c>
      <c r="B103" s="71" t="s">
        <v>39</v>
      </c>
      <c r="C103" s="71" t="s">
        <v>628</v>
      </c>
      <c r="D103" s="280">
        <f>'P2-Exp. &amp; Rev. Credits'!F18</f>
        <v>27192699.464106876</v>
      </c>
      <c r="E103" s="107"/>
      <c r="F103" s="107" t="s">
        <v>36</v>
      </c>
      <c r="G103" s="131">
        <f>$I$179</f>
        <v>0.93696698891188113</v>
      </c>
      <c r="H103" s="107"/>
      <c r="I103" s="55">
        <f t="shared" si="2"/>
        <v>25478661.737269942</v>
      </c>
      <c r="J103" s="71"/>
      <c r="K103" s="107"/>
    </row>
    <row r="104" spans="1:11">
      <c r="A104" s="78">
        <v>3</v>
      </c>
      <c r="B104" s="71" t="s">
        <v>40</v>
      </c>
      <c r="C104" s="71" t="s">
        <v>629</v>
      </c>
      <c r="D104" s="280">
        <f>'P2-Exp. &amp; Rev. Credits'!F19</f>
        <v>20119397.193265337</v>
      </c>
      <c r="E104" s="107"/>
      <c r="F104" s="107" t="s">
        <v>31</v>
      </c>
      <c r="G104" s="131">
        <f>$I$187</f>
        <v>7.0964263854582682E-2</v>
      </c>
      <c r="H104" s="107"/>
      <c r="I104" s="63">
        <f t="shared" si="2"/>
        <v>1427758.2110180317</v>
      </c>
      <c r="J104" s="107"/>
      <c r="K104" s="107" t="s">
        <v>2</v>
      </c>
    </row>
    <row r="105" spans="1:11">
      <c r="A105" s="78">
        <v>4</v>
      </c>
      <c r="B105" s="71" t="s">
        <v>1217</v>
      </c>
      <c r="C105" s="71"/>
      <c r="D105" s="107"/>
      <c r="E105" s="107"/>
      <c r="F105" s="115"/>
      <c r="G105" s="131"/>
      <c r="H105" s="107"/>
      <c r="I105" s="55"/>
      <c r="J105" s="107"/>
      <c r="K105" s="107"/>
    </row>
    <row r="106" spans="1:11">
      <c r="A106" s="78">
        <v>5</v>
      </c>
      <c r="B106" s="71" t="s">
        <v>641</v>
      </c>
      <c r="C106" s="71" t="s">
        <v>630</v>
      </c>
      <c r="D106" s="280">
        <f>'P2-Exp. &amp; Rev. Credits'!F21</f>
        <v>1107827.3539042785</v>
      </c>
      <c r="E106" s="107"/>
      <c r="F106" s="115">
        <f>+F105</f>
        <v>0</v>
      </c>
      <c r="G106" s="131">
        <f>$I$187</f>
        <v>7.0964263854582682E-2</v>
      </c>
      <c r="H106" s="107"/>
      <c r="I106" s="55">
        <f t="shared" si="2"/>
        <v>78616.15264778737</v>
      </c>
      <c r="J106" s="107"/>
      <c r="K106" s="107"/>
    </row>
    <row r="107" spans="1:11">
      <c r="A107" s="78" t="s">
        <v>102</v>
      </c>
      <c r="B107" s="71" t="s">
        <v>642</v>
      </c>
      <c r="C107" s="71" t="s">
        <v>631</v>
      </c>
      <c r="D107" s="280">
        <f>'P2-Exp. &amp; Rev. Credits'!F22</f>
        <v>0</v>
      </c>
      <c r="E107" s="107"/>
      <c r="F107" s="137" t="str">
        <f>+F101</f>
        <v>TE</v>
      </c>
      <c r="G107" s="131">
        <f>$I$179</f>
        <v>0.93696698891188113</v>
      </c>
      <c r="H107" s="107"/>
      <c r="I107" s="55">
        <f>+G107*D107</f>
        <v>0</v>
      </c>
      <c r="J107" s="107"/>
      <c r="K107" s="107"/>
    </row>
    <row r="108" spans="1:11">
      <c r="A108" s="78" t="s">
        <v>149</v>
      </c>
      <c r="B108" s="71" t="s">
        <v>930</v>
      </c>
      <c r="C108" s="71" t="s">
        <v>632</v>
      </c>
      <c r="D108" s="280">
        <f>'P2-Exp. &amp; Rev. Credits'!F23</f>
        <v>510002.8064</v>
      </c>
      <c r="E108" s="107"/>
      <c r="F108" s="115" t="s">
        <v>31</v>
      </c>
      <c r="G108" s="131">
        <f>$I$187</f>
        <v>7.0964263854582682E-2</v>
      </c>
      <c r="H108" s="107"/>
      <c r="I108" s="60">
        <f t="shared" ref="I108:I109" si="3">+G108*D108</f>
        <v>36191.973719947251</v>
      </c>
      <c r="J108" s="107"/>
      <c r="K108" s="107"/>
    </row>
    <row r="109" spans="1:11">
      <c r="A109" s="78" t="s">
        <v>150</v>
      </c>
      <c r="B109" s="71" t="s">
        <v>931</v>
      </c>
      <c r="C109" s="71" t="s">
        <v>633</v>
      </c>
      <c r="D109" s="280">
        <f>'P2-Exp. &amp; Rev. Credits'!F24</f>
        <v>548823.88622094051</v>
      </c>
      <c r="E109" s="107"/>
      <c r="F109" s="115" t="str">
        <f>+F108</f>
        <v>W/S</v>
      </c>
      <c r="G109" s="131">
        <f>$I$187</f>
        <v>7.0964263854582682E-2</v>
      </c>
      <c r="H109" s="107"/>
      <c r="I109" s="60">
        <f t="shared" si="3"/>
        <v>38946.88307148029</v>
      </c>
      <c r="J109" s="107"/>
      <c r="K109" s="107"/>
    </row>
    <row r="110" spans="1:11">
      <c r="A110" s="78">
        <v>6</v>
      </c>
      <c r="B110" s="71" t="s">
        <v>32</v>
      </c>
      <c r="C110" s="71" t="s">
        <v>634</v>
      </c>
      <c r="D110" s="280">
        <f>'P2-Exp. &amp; Rev. Credits'!F25</f>
        <v>0</v>
      </c>
      <c r="E110" s="107"/>
      <c r="F110" s="107" t="s">
        <v>67</v>
      </c>
      <c r="G110" s="131">
        <f>K191</f>
        <v>6.9716558849231183E-2</v>
      </c>
      <c r="H110" s="107"/>
      <c r="I110" s="63">
        <f t="shared" si="2"/>
        <v>0</v>
      </c>
      <c r="J110" s="107"/>
      <c r="K110" s="107"/>
    </row>
    <row r="111" spans="1:11" ht="13.8" thickBot="1">
      <c r="A111" s="78">
        <v>7</v>
      </c>
      <c r="B111" s="71" t="s">
        <v>41</v>
      </c>
      <c r="C111" s="71" t="s">
        <v>635</v>
      </c>
      <c r="D111" s="280">
        <f>'P2-Exp. &amp; Rev. Credits'!F26</f>
        <v>0</v>
      </c>
      <c r="E111" s="107"/>
      <c r="F111" s="107" t="s">
        <v>373</v>
      </c>
      <c r="G111" s="131">
        <v>1</v>
      </c>
      <c r="H111" s="107"/>
      <c r="I111" s="64">
        <f t="shared" si="2"/>
        <v>0</v>
      </c>
      <c r="J111" s="107"/>
      <c r="K111" s="107"/>
    </row>
    <row r="112" spans="1:11">
      <c r="A112" s="78">
        <v>8</v>
      </c>
      <c r="B112" s="71" t="s">
        <v>1219</v>
      </c>
      <c r="C112" s="71"/>
      <c r="D112" s="586">
        <f>'P2-Exp. &amp; Rev. Credits'!F27</f>
        <v>19659096.57741753</v>
      </c>
      <c r="E112" s="107"/>
      <c r="F112" s="107"/>
      <c r="G112" s="131"/>
      <c r="H112" s="107"/>
      <c r="I112" s="63">
        <f>+I101-I102-I103+I104-I106+I110+I111+I107+I108-I109</f>
        <v>1989472.3972815487</v>
      </c>
      <c r="J112" s="107"/>
      <c r="K112" s="107"/>
    </row>
    <row r="113" spans="1:11">
      <c r="A113" s="78"/>
      <c r="C113" s="107"/>
      <c r="E113" s="107"/>
      <c r="F113" s="107"/>
      <c r="G113" s="131"/>
      <c r="H113" s="107"/>
      <c r="J113" s="107"/>
      <c r="K113" s="107"/>
    </row>
    <row r="114" spans="1:11">
      <c r="A114" s="78"/>
      <c r="B114" s="71" t="s">
        <v>643</v>
      </c>
      <c r="C114" s="107"/>
      <c r="D114" s="107"/>
      <c r="E114" s="107"/>
      <c r="F114" s="107"/>
      <c r="G114" s="131"/>
      <c r="H114" s="107"/>
      <c r="I114" s="107"/>
      <c r="J114" s="107"/>
      <c r="K114" s="107"/>
    </row>
    <row r="115" spans="1:11">
      <c r="A115" s="78">
        <v>9</v>
      </c>
      <c r="B115" s="134" t="str">
        <f>+B101</f>
        <v xml:space="preserve">  Transmission </v>
      </c>
      <c r="C115" s="51" t="s">
        <v>1211</v>
      </c>
      <c r="D115" s="280">
        <f>'P1-Trans Plant'!E43</f>
        <v>2334624.3755846005</v>
      </c>
      <c r="E115" s="107"/>
      <c r="F115" s="107" t="s">
        <v>11</v>
      </c>
      <c r="G115" s="131">
        <f>$I$170</f>
        <v>0.94993800079121415</v>
      </c>
      <c r="H115" s="107"/>
      <c r="I115" s="63">
        <f>+G115*D115</f>
        <v>2217748.4119412722</v>
      </c>
      <c r="J115" s="107"/>
      <c r="K115" s="133"/>
    </row>
    <row r="116" spans="1:11">
      <c r="A116" s="78">
        <v>10</v>
      </c>
      <c r="B116" s="71" t="s">
        <v>127</v>
      </c>
      <c r="C116" s="71" t="s">
        <v>587</v>
      </c>
      <c r="D116" s="280">
        <f>'Act Att-H'!D120</f>
        <v>2254790</v>
      </c>
      <c r="E116" s="107"/>
      <c r="F116" s="107" t="s">
        <v>31</v>
      </c>
      <c r="G116" s="131">
        <f>+G104</f>
        <v>7.0964263854582682E-2</v>
      </c>
      <c r="H116" s="107"/>
      <c r="I116" s="63">
        <f>+G116*D116</f>
        <v>160009.51249667449</v>
      </c>
      <c r="J116" s="107"/>
      <c r="K116" s="133"/>
    </row>
    <row r="117" spans="1:11">
      <c r="A117" s="78">
        <v>11</v>
      </c>
      <c r="B117" s="134" t="str">
        <f>+B110</f>
        <v xml:space="preserve">  Common</v>
      </c>
      <c r="C117" s="71" t="s">
        <v>598</v>
      </c>
      <c r="D117" s="280">
        <f>'Act Att-H'!D121</f>
        <v>205654</v>
      </c>
      <c r="E117" s="107"/>
      <c r="F117" s="107" t="s">
        <v>67</v>
      </c>
      <c r="G117" s="131">
        <f>+G110</f>
        <v>6.9716558849231183E-2</v>
      </c>
      <c r="H117" s="107"/>
      <c r="I117" s="63">
        <f>+G117*D117</f>
        <v>14337.48919357979</v>
      </c>
      <c r="J117" s="107"/>
      <c r="K117" s="133"/>
    </row>
    <row r="118" spans="1:11" s="2" customFormat="1" ht="13.8" thickBot="1">
      <c r="A118" s="74" t="s">
        <v>383</v>
      </c>
      <c r="B118" s="57" t="s">
        <v>389</v>
      </c>
      <c r="C118" s="71" t="s">
        <v>1128</v>
      </c>
      <c r="D118" s="280">
        <f>'Act Att-H'!D122</f>
        <v>0</v>
      </c>
      <c r="E118" s="55"/>
      <c r="F118" s="73"/>
      <c r="G118" s="652"/>
      <c r="H118" s="55"/>
      <c r="I118" s="68">
        <f>+G118*D118</f>
        <v>0</v>
      </c>
      <c r="J118" s="52"/>
      <c r="K118" s="62"/>
    </row>
    <row r="119" spans="1:11">
      <c r="A119" s="78">
        <v>12</v>
      </c>
      <c r="B119" s="71" t="s">
        <v>390</v>
      </c>
      <c r="C119" s="179" t="s">
        <v>391</v>
      </c>
      <c r="D119" s="588">
        <f>SUM(D115:D118)</f>
        <v>4795068.3755846005</v>
      </c>
      <c r="E119" s="107"/>
      <c r="F119" s="107"/>
      <c r="G119" s="131"/>
      <c r="H119" s="107"/>
      <c r="I119" s="63">
        <f>SUM(I115:I118)</f>
        <v>2392095.4136315263</v>
      </c>
      <c r="J119" s="107"/>
      <c r="K119" s="107"/>
    </row>
    <row r="120" spans="1:11">
      <c r="A120" s="78"/>
      <c r="B120" s="71"/>
      <c r="C120" s="107"/>
      <c r="D120" s="107"/>
      <c r="E120" s="107"/>
      <c r="F120" s="107"/>
      <c r="G120" s="131"/>
      <c r="H120" s="107"/>
      <c r="I120" s="107"/>
      <c r="J120" s="107"/>
      <c r="K120" s="107"/>
    </row>
    <row r="121" spans="1:11">
      <c r="A121" s="78" t="s">
        <v>2</v>
      </c>
      <c r="B121" s="71" t="s">
        <v>644</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591</v>
      </c>
      <c r="D123" s="280">
        <f>'P2-Exp. &amp; Rev. Credits'!F32</f>
        <v>1062312.5459742874</v>
      </c>
      <c r="E123" s="107"/>
      <c r="F123" s="107" t="s">
        <v>31</v>
      </c>
      <c r="G123" s="131">
        <f>+G116</f>
        <v>7.0964263854582682E-2</v>
      </c>
      <c r="H123" s="107"/>
      <c r="I123" s="63">
        <f>+G123*D123</f>
        <v>75386.227808552823</v>
      </c>
      <c r="J123" s="107"/>
      <c r="K123" s="133"/>
    </row>
    <row r="124" spans="1:11">
      <c r="A124" s="78">
        <v>14</v>
      </c>
      <c r="B124" s="71" t="s">
        <v>44</v>
      </c>
      <c r="C124" s="71" t="s">
        <v>592</v>
      </c>
      <c r="D124" s="280">
        <f>'P2-Exp. &amp; Rev. Credits'!F33</f>
        <v>0</v>
      </c>
      <c r="E124" s="107"/>
      <c r="F124" s="115" t="str">
        <f>+F123</f>
        <v>W/S</v>
      </c>
      <c r="G124" s="131">
        <f>+G123</f>
        <v>7.0964263854582682E-2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593</v>
      </c>
      <c r="D126" s="280">
        <f>'P2-Exp. &amp; Rev. Credits'!F35</f>
        <v>3501740.3799093501</v>
      </c>
      <c r="E126" s="107"/>
      <c r="F126" s="107" t="s">
        <v>37</v>
      </c>
      <c r="G126" s="131">
        <f>$G$234</f>
        <v>0.14296032413129539</v>
      </c>
      <c r="H126" s="107"/>
      <c r="I126" s="63">
        <f>+G126*D126</f>
        <v>500609.93973548617</v>
      </c>
      <c r="J126" s="107"/>
      <c r="K126" s="133"/>
    </row>
    <row r="127" spans="1:11">
      <c r="A127" s="78">
        <v>17</v>
      </c>
      <c r="B127" s="71" t="s">
        <v>47</v>
      </c>
      <c r="C127" s="71" t="s">
        <v>594</v>
      </c>
      <c r="D127" s="280">
        <f>'P2-Exp. &amp; Rev. Credits'!F36</f>
        <v>2367859.7131127613</v>
      </c>
      <c r="E127" s="107"/>
      <c r="F127" s="115" t="s">
        <v>27</v>
      </c>
      <c r="G127" s="131">
        <v>0</v>
      </c>
      <c r="H127" s="107"/>
      <c r="I127" s="63">
        <v>0</v>
      </c>
      <c r="J127" s="107"/>
      <c r="K127" s="133"/>
    </row>
    <row r="128" spans="1:11">
      <c r="A128" s="78">
        <v>18</v>
      </c>
      <c r="B128" s="71" t="s">
        <v>59</v>
      </c>
      <c r="C128" s="71" t="s">
        <v>595</v>
      </c>
      <c r="D128" s="280">
        <f>'P2-Exp. &amp; Rev. Credits'!F37</f>
        <v>0</v>
      </c>
      <c r="E128" s="107"/>
      <c r="F128" s="692"/>
      <c r="G128" s="652"/>
      <c r="H128" s="107"/>
      <c r="I128" s="63">
        <f>+G128*D128</f>
        <v>0</v>
      </c>
      <c r="J128" s="107"/>
      <c r="K128" s="133"/>
    </row>
    <row r="129" spans="1:11" ht="13.8" thickBot="1">
      <c r="A129" s="78">
        <v>19</v>
      </c>
      <c r="B129" s="71" t="s">
        <v>1130</v>
      </c>
      <c r="C129" s="71"/>
      <c r="D129" s="587"/>
      <c r="E129" s="107"/>
      <c r="F129" s="107"/>
      <c r="G129" s="131"/>
      <c r="H129" s="107"/>
      <c r="I129" s="63"/>
      <c r="J129" s="107"/>
      <c r="K129" s="133"/>
    </row>
    <row r="130" spans="1:11">
      <c r="A130" s="78">
        <v>20</v>
      </c>
      <c r="B130" s="71" t="s">
        <v>393</v>
      </c>
      <c r="C130" s="179" t="s">
        <v>392</v>
      </c>
      <c r="D130" s="586">
        <f>SUM(D123:D129)</f>
        <v>6931912.638996399</v>
      </c>
      <c r="E130" s="107"/>
      <c r="F130" s="107"/>
      <c r="G130" s="131"/>
      <c r="H130" s="107"/>
      <c r="I130" s="72">
        <f>SUM(I123:I129)</f>
        <v>575996.16754403897</v>
      </c>
      <c r="J130" s="107"/>
      <c r="K130" s="107"/>
    </row>
    <row r="131" spans="1:11">
      <c r="A131" s="78"/>
      <c r="B131" s="71"/>
      <c r="C131" s="107"/>
      <c r="D131" s="107"/>
      <c r="E131" s="107"/>
      <c r="F131" s="107"/>
      <c r="G131" s="131"/>
      <c r="H131" s="107"/>
      <c r="I131" s="107"/>
      <c r="J131" s="107"/>
      <c r="K131" s="107"/>
    </row>
    <row r="132" spans="1:11">
      <c r="A132" s="78" t="s">
        <v>2</v>
      </c>
      <c r="B132" s="71" t="s">
        <v>49</v>
      </c>
      <c r="C132" s="107" t="s">
        <v>636</v>
      </c>
      <c r="D132" s="107"/>
      <c r="E132" s="107"/>
      <c r="G132" s="131"/>
      <c r="H132" s="107"/>
      <c r="J132" s="107"/>
    </row>
    <row r="133" spans="1:11">
      <c r="A133" s="78">
        <v>21</v>
      </c>
      <c r="B133" s="140" t="s">
        <v>98</v>
      </c>
      <c r="C133" s="107"/>
      <c r="D133" s="141">
        <f>IF(D251&gt;0,1-(((1-D252)*(1-D251))/(1-D252*D251*D253)),0)</f>
        <v>0</v>
      </c>
      <c r="E133" s="107"/>
      <c r="G133" s="131"/>
      <c r="H133" s="107"/>
      <c r="J133" s="107"/>
    </row>
    <row r="134" spans="1:11">
      <c r="A134" s="78">
        <v>22</v>
      </c>
      <c r="B134" s="103" t="s">
        <v>946</v>
      </c>
      <c r="C134" s="107"/>
      <c r="D134" s="141">
        <f>IF(I211&gt;0,(D133/(1-D133))*(1-I208/I211),0)</f>
        <v>0</v>
      </c>
      <c r="E134" s="107"/>
      <c r="G134" s="131"/>
      <c r="H134" s="107"/>
      <c r="J134" s="107"/>
    </row>
    <row r="135" spans="1:11">
      <c r="A135" s="78"/>
      <c r="B135" s="71" t="s">
        <v>148</v>
      </c>
      <c r="C135" s="107"/>
      <c r="D135" s="107"/>
      <c r="E135" s="107"/>
      <c r="G135" s="131"/>
      <c r="H135" s="107"/>
      <c r="J135" s="107"/>
    </row>
    <row r="136" spans="1:11">
      <c r="A136" s="78"/>
      <c r="B136" s="71" t="s">
        <v>637</v>
      </c>
      <c r="C136" s="107"/>
      <c r="D136" s="107"/>
      <c r="E136" s="107"/>
      <c r="G136" s="131"/>
      <c r="H136" s="107"/>
      <c r="J136" s="107"/>
    </row>
    <row r="137" spans="1:11">
      <c r="A137" s="78">
        <v>23</v>
      </c>
      <c r="B137" s="140" t="s">
        <v>99</v>
      </c>
      <c r="C137" s="107"/>
      <c r="D137" s="589">
        <f>IF(D133&gt;0,1/(1-D133),0)</f>
        <v>0</v>
      </c>
      <c r="E137" s="107"/>
      <c r="G137" s="131"/>
      <c r="H137" s="107"/>
      <c r="J137" s="107"/>
    </row>
    <row r="138" spans="1:11">
      <c r="A138" s="78">
        <v>24</v>
      </c>
      <c r="B138" s="71" t="s">
        <v>944</v>
      </c>
      <c r="C138" s="71" t="s">
        <v>599</v>
      </c>
      <c r="D138" s="280">
        <f>'Act Att-H'!D142</f>
        <v>2250</v>
      </c>
      <c r="E138" s="107"/>
      <c r="G138" s="131"/>
      <c r="H138" s="107"/>
      <c r="J138" s="107"/>
    </row>
    <row r="139" spans="1:11">
      <c r="A139" s="78" t="s">
        <v>384</v>
      </c>
      <c r="B139" s="54" t="s">
        <v>1199</v>
      </c>
      <c r="C139" s="71" t="s">
        <v>1009</v>
      </c>
      <c r="D139" s="280">
        <f>'Act Att-H'!D143</f>
        <v>95264.263039999991</v>
      </c>
      <c r="E139" s="107"/>
      <c r="G139" s="131"/>
      <c r="H139" s="107"/>
      <c r="J139" s="107"/>
    </row>
    <row r="140" spans="1:11">
      <c r="A140" s="78" t="s">
        <v>831</v>
      </c>
      <c r="B140" s="54" t="s">
        <v>1200</v>
      </c>
      <c r="C140" s="71" t="s">
        <v>1022</v>
      </c>
      <c r="D140" s="280">
        <f>'Act Att-H'!D144</f>
        <v>19930.266428099931</v>
      </c>
      <c r="E140" s="107"/>
      <c r="G140" s="131"/>
      <c r="H140" s="107"/>
      <c r="J140" s="107"/>
    </row>
    <row r="141" spans="1:11">
      <c r="A141" s="78" t="s">
        <v>385</v>
      </c>
      <c r="B141" s="54" t="s">
        <v>382</v>
      </c>
      <c r="C141" s="71" t="s">
        <v>600</v>
      </c>
      <c r="D141" s="280">
        <f>'Act Att-H'!D145</f>
        <v>4185.3559499009843</v>
      </c>
      <c r="E141" s="107"/>
      <c r="G141" s="131"/>
      <c r="H141" s="107"/>
      <c r="J141" s="107"/>
    </row>
    <row r="142" spans="1:11">
      <c r="A142" s="78">
        <v>25</v>
      </c>
      <c r="B142" s="140" t="s">
        <v>396</v>
      </c>
      <c r="C142" s="142" t="s">
        <v>394</v>
      </c>
      <c r="D142" s="587">
        <f>D134*D149</f>
        <v>0</v>
      </c>
      <c r="E142" s="107"/>
      <c r="F142" s="107"/>
      <c r="G142" s="131"/>
      <c r="H142" s="107"/>
      <c r="I142" s="63">
        <f>D134*I149</f>
        <v>0</v>
      </c>
      <c r="J142" s="107"/>
      <c r="K142" s="143" t="s">
        <v>2</v>
      </c>
    </row>
    <row r="143" spans="1:11">
      <c r="A143" s="78">
        <v>26</v>
      </c>
      <c r="B143" s="103" t="s">
        <v>397</v>
      </c>
      <c r="C143" s="142" t="s">
        <v>395</v>
      </c>
      <c r="D143" s="587">
        <f>D137*D138</f>
        <v>0</v>
      </c>
      <c r="E143" s="107"/>
      <c r="F143" s="52" t="s">
        <v>37</v>
      </c>
      <c r="G143" s="131">
        <f>$G$234</f>
        <v>0.14296032413129539</v>
      </c>
      <c r="H143" s="107"/>
      <c r="I143" s="63">
        <f>G143*D143</f>
        <v>0</v>
      </c>
      <c r="J143" s="107"/>
      <c r="K143" s="143"/>
    </row>
    <row r="144" spans="1:11">
      <c r="A144" s="78" t="s">
        <v>398</v>
      </c>
      <c r="B144" s="61" t="s">
        <v>400</v>
      </c>
      <c r="C144" s="76" t="s">
        <v>402</v>
      </c>
      <c r="D144" s="587">
        <f>D137*D139</f>
        <v>0</v>
      </c>
      <c r="E144" s="107"/>
      <c r="G144" s="131"/>
      <c r="H144" s="107"/>
      <c r="I144" s="63">
        <f>D144</f>
        <v>0</v>
      </c>
      <c r="J144" s="107"/>
      <c r="K144" s="143"/>
    </row>
    <row r="145" spans="1:11">
      <c r="A145" s="78" t="s">
        <v>399</v>
      </c>
      <c r="B145" s="61" t="s">
        <v>401</v>
      </c>
      <c r="C145" s="76" t="s">
        <v>403</v>
      </c>
      <c r="D145" s="587">
        <f>D137*D141</f>
        <v>0</v>
      </c>
      <c r="E145" s="107"/>
      <c r="G145" s="131"/>
      <c r="H145" s="107"/>
      <c r="I145" s="63">
        <f>D145</f>
        <v>0</v>
      </c>
      <c r="J145" s="107"/>
      <c r="K145" s="143"/>
    </row>
    <row r="146" spans="1:11">
      <c r="A146" s="78">
        <v>27</v>
      </c>
      <c r="B146" s="140" t="s">
        <v>92</v>
      </c>
      <c r="C146" s="61" t="s">
        <v>945</v>
      </c>
      <c r="D146" s="588">
        <f>D142+D145-D143-D144</f>
        <v>0</v>
      </c>
      <c r="E146" s="107"/>
      <c r="F146" s="107" t="s">
        <v>2</v>
      </c>
      <c r="G146" s="131" t="s">
        <v>2</v>
      </c>
      <c r="H146" s="107"/>
      <c r="I146" s="588">
        <f>I142+I145-I143-I144</f>
        <v>0</v>
      </c>
      <c r="J146" s="107"/>
      <c r="K146" s="107"/>
    </row>
    <row r="147" spans="1:11">
      <c r="A147" s="78" t="s">
        <v>2</v>
      </c>
      <c r="C147" s="144"/>
      <c r="D147" s="587"/>
      <c r="E147" s="107"/>
      <c r="F147" s="107"/>
      <c r="G147" s="131"/>
      <c r="H147" s="107"/>
      <c r="I147" s="107"/>
      <c r="J147" s="107"/>
      <c r="K147" s="107"/>
    </row>
    <row r="148" spans="1:11">
      <c r="B148" s="71" t="s">
        <v>50</v>
      </c>
      <c r="C148" s="133"/>
      <c r="G148" s="131"/>
      <c r="J148" s="107"/>
    </row>
    <row r="149" spans="1:11">
      <c r="A149" s="78">
        <v>28</v>
      </c>
      <c r="B149" s="140" t="s">
        <v>708</v>
      </c>
      <c r="C149" s="719" t="s">
        <v>1124</v>
      </c>
      <c r="D149" s="63">
        <f>+$I211*D87+I214</f>
        <v>11902235.239543494</v>
      </c>
      <c r="E149" s="107"/>
      <c r="F149" s="107"/>
      <c r="G149" s="131"/>
      <c r="H149" s="107"/>
      <c r="I149" s="383">
        <f>+$I211*I87+I214</f>
        <v>8031578.7286353959</v>
      </c>
      <c r="J149" s="107"/>
      <c r="K149" s="133"/>
    </row>
    <row r="150" spans="1:11">
      <c r="A150" s="78"/>
      <c r="B150" s="71"/>
      <c r="D150" s="107"/>
      <c r="E150" s="107"/>
      <c r="F150" s="107"/>
      <c r="G150" s="139"/>
      <c r="H150" s="107"/>
      <c r="I150" s="107"/>
      <c r="J150" s="107"/>
      <c r="K150" s="133"/>
    </row>
    <row r="151" spans="1:11" ht="13.8" thickBot="1">
      <c r="A151" s="78">
        <v>29</v>
      </c>
      <c r="B151" s="71" t="s">
        <v>405</v>
      </c>
      <c r="C151" s="107" t="s">
        <v>404</v>
      </c>
      <c r="D151" s="77">
        <f>+D112+D119+D130+D146+D149</f>
        <v>43288312.83154203</v>
      </c>
      <c r="E151" s="107"/>
      <c r="F151" s="107"/>
      <c r="G151" s="107"/>
      <c r="H151" s="107"/>
      <c r="I151" s="77">
        <f>+I112+I119+I130+I146+I149</f>
        <v>12989142.707092509</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773"/>
      <c r="G153" s="773"/>
      <c r="H153" s="773"/>
      <c r="I153" s="773"/>
      <c r="J153" s="773"/>
      <c r="K153" s="773"/>
    </row>
    <row r="154" spans="1:11">
      <c r="B154" s="71"/>
      <c r="C154" s="71"/>
      <c r="D154" s="104"/>
      <c r="E154" s="71"/>
      <c r="F154" s="71"/>
      <c r="G154" s="71"/>
      <c r="H154" s="71"/>
      <c r="I154" s="774" t="str">
        <f>I1</f>
        <v>Projected Attachment H</v>
      </c>
      <c r="J154" s="774"/>
      <c r="K154" s="774"/>
    </row>
    <row r="155" spans="1:11">
      <c r="B155" s="71"/>
      <c r="C155" s="71"/>
      <c r="D155" s="104"/>
      <c r="E155" s="71"/>
      <c r="F155" s="71"/>
      <c r="G155" s="71"/>
      <c r="H155" s="71"/>
      <c r="I155" s="71"/>
      <c r="J155" s="773" t="s">
        <v>244</v>
      </c>
      <c r="K155" s="773"/>
    </row>
    <row r="156" spans="1:11">
      <c r="B156" s="71"/>
      <c r="C156" s="71"/>
      <c r="D156" s="104"/>
      <c r="E156" s="71"/>
      <c r="F156" s="71"/>
      <c r="G156" s="71"/>
      <c r="H156" s="71"/>
      <c r="I156" s="71"/>
      <c r="J156" s="105"/>
      <c r="K156" s="105"/>
    </row>
    <row r="157" spans="1:11">
      <c r="B157" s="104" t="s">
        <v>0</v>
      </c>
      <c r="C157" s="78" t="s">
        <v>1</v>
      </c>
      <c r="E157" s="71"/>
      <c r="F157" s="71"/>
      <c r="G157" s="770" t="str">
        <f>K4</f>
        <v>Estimated - For the 12 months ended 12/31/yyyy</v>
      </c>
      <c r="H157" s="770"/>
      <c r="I157" s="770"/>
      <c r="J157" s="770"/>
      <c r="K157" s="770"/>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407</v>
      </c>
      <c r="C165" s="71" t="s">
        <v>615</v>
      </c>
      <c r="D165" s="107"/>
      <c r="E165" s="107"/>
      <c r="F165" s="107"/>
      <c r="G165" s="107"/>
      <c r="H165" s="107"/>
      <c r="I165" s="280">
        <f>'Act Att-H'!I169</f>
        <v>86957649.413846165</v>
      </c>
      <c r="J165" s="107"/>
      <c r="K165" s="107"/>
    </row>
    <row r="166" spans="1:19">
      <c r="A166" s="78">
        <v>2</v>
      </c>
      <c r="B166" s="71" t="s">
        <v>408</v>
      </c>
      <c r="C166" s="71" t="s">
        <v>616</v>
      </c>
      <c r="I166" s="280">
        <f>'Act Att-H'!I170</f>
        <v>0</v>
      </c>
      <c r="J166" s="107"/>
      <c r="K166" s="107"/>
    </row>
    <row r="167" spans="1:19">
      <c r="A167" s="78">
        <v>3</v>
      </c>
      <c r="B167" s="71" t="s">
        <v>409</v>
      </c>
      <c r="C167" s="71" t="s">
        <v>617</v>
      </c>
      <c r="D167" s="107"/>
      <c r="E167" s="107"/>
      <c r="F167" s="107"/>
      <c r="G167" s="108"/>
      <c r="H167" s="107"/>
      <c r="I167" s="280">
        <f>'Act Att-H'!I171</f>
        <v>4353273.7761538448</v>
      </c>
      <c r="J167" s="107"/>
      <c r="K167" s="107"/>
    </row>
    <row r="168" spans="1:19">
      <c r="A168" s="78">
        <v>4</v>
      </c>
      <c r="B168" s="181" t="s">
        <v>410</v>
      </c>
      <c r="C168" s="181" t="s">
        <v>411</v>
      </c>
      <c r="D168" s="107"/>
      <c r="E168" s="107"/>
      <c r="F168" s="107"/>
      <c r="G168" s="108"/>
      <c r="H168" s="107"/>
      <c r="I168" s="180">
        <f>I165-I166-I167</f>
        <v>82604375.637692317</v>
      </c>
      <c r="J168" s="107"/>
      <c r="K168" s="107"/>
    </row>
    <row r="169" spans="1:19" ht="9" customHeight="1">
      <c r="A169" s="78"/>
      <c r="C169" s="71"/>
      <c r="D169" s="107"/>
      <c r="E169" s="107"/>
      <c r="F169" s="107"/>
      <c r="G169" s="108"/>
      <c r="H169" s="107"/>
      <c r="J169" s="107"/>
      <c r="K169" s="107"/>
    </row>
    <row r="170" spans="1:19">
      <c r="A170" s="78">
        <v>5</v>
      </c>
      <c r="B170" s="71" t="s">
        <v>412</v>
      </c>
      <c r="C170" s="110" t="s">
        <v>413</v>
      </c>
      <c r="D170" s="110"/>
      <c r="E170" s="110"/>
      <c r="F170" s="110"/>
      <c r="G170" s="124"/>
      <c r="H170" s="107" t="s">
        <v>53</v>
      </c>
      <c r="I170" s="147">
        <f>IF(I165&gt;0,I168/I165,0)</f>
        <v>0.94993800079121415</v>
      </c>
      <c r="J170" s="107"/>
      <c r="K170" s="107"/>
      <c r="N170" s="148"/>
      <c r="O170" s="148"/>
      <c r="P170" s="148"/>
    </row>
    <row r="171" spans="1:19" ht="9" customHeight="1">
      <c r="A171" s="78"/>
      <c r="J171" s="107"/>
      <c r="K171" s="107"/>
      <c r="N171" s="71"/>
      <c r="P171" s="107"/>
      <c r="Q171" s="71"/>
    </row>
    <row r="172" spans="1:19">
      <c r="A172" s="78"/>
      <c r="B172" s="71" t="s">
        <v>51</v>
      </c>
      <c r="J172" s="107"/>
      <c r="K172" s="107"/>
      <c r="N172" s="806"/>
      <c r="O172" s="806"/>
      <c r="P172" s="806"/>
      <c r="Q172" s="806"/>
      <c r="R172" s="806"/>
      <c r="S172" s="806"/>
    </row>
    <row r="173" spans="1:19">
      <c r="A173" s="78">
        <v>6</v>
      </c>
      <c r="B173" s="103" t="s">
        <v>414</v>
      </c>
      <c r="C173" s="103" t="s">
        <v>424</v>
      </c>
      <c r="D173" s="71"/>
      <c r="E173" s="71"/>
      <c r="F173" s="71"/>
      <c r="G173" s="78"/>
      <c r="H173" s="71"/>
      <c r="I173" s="280">
        <f>D101</f>
        <v>28349006.530798137</v>
      </c>
      <c r="J173" s="107"/>
      <c r="K173" s="107"/>
      <c r="P173" s="107"/>
      <c r="Q173" s="71"/>
    </row>
    <row r="174" spans="1:19">
      <c r="A174" s="78">
        <v>7</v>
      </c>
      <c r="B174" s="71" t="s">
        <v>423</v>
      </c>
      <c r="C174" s="71" t="s">
        <v>618</v>
      </c>
      <c r="D174" s="107"/>
      <c r="E174" s="107"/>
      <c r="F174" s="107"/>
      <c r="G174" s="107"/>
      <c r="H174" s="107"/>
      <c r="I174" s="280">
        <f>'Act Att-H'!I178</f>
        <v>387094</v>
      </c>
      <c r="J174" s="107"/>
      <c r="K174" s="107"/>
      <c r="N174" s="150"/>
      <c r="O174" s="151"/>
      <c r="P174" s="107"/>
      <c r="Q174" s="71"/>
    </row>
    <row r="175" spans="1:19">
      <c r="A175" s="78">
        <v>8</v>
      </c>
      <c r="B175" s="181" t="s">
        <v>416</v>
      </c>
      <c r="C175" s="183" t="s">
        <v>415</v>
      </c>
      <c r="D175" s="110"/>
      <c r="E175" s="110"/>
      <c r="F175" s="110"/>
      <c r="G175" s="124"/>
      <c r="H175" s="110"/>
      <c r="I175" s="180">
        <f>+I173-I174</f>
        <v>27961912.530798137</v>
      </c>
      <c r="N175" s="152"/>
      <c r="O175" s="153"/>
      <c r="P175" s="154"/>
      <c r="Q175" s="154"/>
    </row>
    <row r="176" spans="1:19">
      <c r="A176" s="78"/>
      <c r="B176" s="71"/>
      <c r="C176" s="71"/>
      <c r="D176" s="107"/>
      <c r="E176" s="107"/>
      <c r="F176" s="107"/>
      <c r="G176" s="107"/>
      <c r="N176" s="152"/>
      <c r="O176" s="153"/>
    </row>
    <row r="177" spans="1:17">
      <c r="A177" s="78">
        <v>9</v>
      </c>
      <c r="B177" s="71" t="s">
        <v>417</v>
      </c>
      <c r="C177" s="71" t="s">
        <v>425</v>
      </c>
      <c r="D177" s="107"/>
      <c r="E177" s="107"/>
      <c r="F177" s="107"/>
      <c r="G177" s="107"/>
      <c r="H177" s="107"/>
      <c r="I177" s="131">
        <f>IF(I173&gt;0,I175/I173,0)</f>
        <v>0.98634541215476235</v>
      </c>
      <c r="N177" s="71"/>
      <c r="O177" s="155"/>
      <c r="P177" s="153"/>
      <c r="Q177" s="153"/>
    </row>
    <row r="178" spans="1:17">
      <c r="A178" s="78">
        <v>10</v>
      </c>
      <c r="B178" s="71" t="s">
        <v>418</v>
      </c>
      <c r="C178" s="71" t="s">
        <v>419</v>
      </c>
      <c r="D178" s="107"/>
      <c r="E178" s="107"/>
      <c r="F178" s="107"/>
      <c r="G178" s="107"/>
      <c r="H178" s="71" t="s">
        <v>11</v>
      </c>
      <c r="I178" s="131">
        <f>I170</f>
        <v>0.94993800079121415</v>
      </c>
      <c r="N178" s="150"/>
      <c r="O178" s="153"/>
      <c r="Q178" s="153"/>
    </row>
    <row r="179" spans="1:17">
      <c r="A179" s="78">
        <v>11</v>
      </c>
      <c r="B179" s="71" t="s">
        <v>421</v>
      </c>
      <c r="C179" s="71" t="s">
        <v>420</v>
      </c>
      <c r="D179" s="71"/>
      <c r="E179" s="71"/>
      <c r="F179" s="71"/>
      <c r="G179" s="71"/>
      <c r="H179" s="71" t="s">
        <v>52</v>
      </c>
      <c r="I179" s="114">
        <f>+I178*I177</f>
        <v>0.93696698891188113</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578</v>
      </c>
      <c r="D182" s="158" t="s">
        <v>56</v>
      </c>
      <c r="E182" s="158" t="s">
        <v>11</v>
      </c>
      <c r="F182" s="107"/>
      <c r="G182" s="158" t="s">
        <v>57</v>
      </c>
      <c r="H182" s="107"/>
      <c r="I182" s="107"/>
      <c r="J182" s="107"/>
      <c r="K182" s="107"/>
      <c r="N182" s="152"/>
      <c r="O182" s="153"/>
      <c r="P182" s="107"/>
      <c r="Q182" s="71"/>
    </row>
    <row r="183" spans="1:17">
      <c r="A183" s="78">
        <v>12</v>
      </c>
      <c r="B183" s="71" t="s">
        <v>26</v>
      </c>
      <c r="C183" s="71" t="s">
        <v>601</v>
      </c>
      <c r="D183" s="280">
        <f>'Act Att-H'!D187</f>
        <v>3223348.0850000004</v>
      </c>
      <c r="E183" s="159">
        <v>0</v>
      </c>
      <c r="F183" s="159"/>
      <c r="G183" s="115">
        <f>D183*E183</f>
        <v>0</v>
      </c>
      <c r="H183" s="107"/>
      <c r="I183" s="107"/>
      <c r="J183" s="107"/>
      <c r="K183" s="107"/>
    </row>
    <row r="184" spans="1:17">
      <c r="A184" s="78">
        <v>13</v>
      </c>
      <c r="B184" s="71" t="s">
        <v>28</v>
      </c>
      <c r="C184" s="71" t="s">
        <v>602</v>
      </c>
      <c r="D184" s="280">
        <f>'Act Att-H'!D188</f>
        <v>445557.56</v>
      </c>
      <c r="E184" s="160">
        <f>+I170</f>
        <v>0.94993800079121415</v>
      </c>
      <c r="F184" s="159"/>
      <c r="G184" s="115">
        <f>D184*E184</f>
        <v>423252.05778381147</v>
      </c>
      <c r="H184" s="107"/>
      <c r="I184" s="107"/>
      <c r="J184" s="107"/>
      <c r="K184" s="107"/>
    </row>
    <row r="185" spans="1:17">
      <c r="A185" s="78">
        <v>14</v>
      </c>
      <c r="B185" s="71" t="s">
        <v>29</v>
      </c>
      <c r="C185" s="71" t="s">
        <v>603</v>
      </c>
      <c r="D185" s="280">
        <f>'Act Att-H'!D189</f>
        <v>1820077.38</v>
      </c>
      <c r="E185" s="159">
        <v>0</v>
      </c>
      <c r="F185" s="159"/>
      <c r="G185" s="115">
        <f>D185*E185</f>
        <v>0</v>
      </c>
      <c r="H185" s="107"/>
      <c r="I185" s="108" t="s">
        <v>58</v>
      </c>
      <c r="J185" s="107"/>
      <c r="K185" s="107"/>
    </row>
    <row r="186" spans="1:17" ht="13.8" thickBot="1">
      <c r="A186" s="78">
        <v>15</v>
      </c>
      <c r="B186" s="71" t="s">
        <v>59</v>
      </c>
      <c r="C186" s="71" t="s">
        <v>604</v>
      </c>
      <c r="D186" s="280">
        <f>'Act Att-H'!D190</f>
        <v>475315.55</v>
      </c>
      <c r="E186" s="159">
        <v>0</v>
      </c>
      <c r="F186" s="159"/>
      <c r="G186" s="161">
        <f>D186*E186</f>
        <v>0</v>
      </c>
      <c r="H186" s="107"/>
      <c r="I186" s="111" t="s">
        <v>60</v>
      </c>
      <c r="J186" s="107"/>
      <c r="K186" s="107"/>
    </row>
    <row r="187" spans="1:17">
      <c r="A187" s="78">
        <v>16</v>
      </c>
      <c r="B187" s="71" t="s">
        <v>427</v>
      </c>
      <c r="C187" s="107" t="s">
        <v>426</v>
      </c>
      <c r="D187" s="180">
        <f>SUM(D183:D186)</f>
        <v>5964298.5750000002</v>
      </c>
      <c r="E187" s="107"/>
      <c r="F187" s="107"/>
      <c r="G187" s="115">
        <f>SUM(G183:G186)</f>
        <v>423252.05778381147</v>
      </c>
      <c r="H187" s="78" t="s">
        <v>61</v>
      </c>
      <c r="I187" s="131">
        <f>IF(G187&gt;0,G187/D187,0)</f>
        <v>7.0964263854582682E-2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605</v>
      </c>
      <c r="D190" s="280">
        <f>'Act Att-H'!D194</f>
        <v>703226217.15999985</v>
      </c>
      <c r="E190" s="107"/>
      <c r="G190" s="78" t="s">
        <v>65</v>
      </c>
      <c r="H190" s="139"/>
      <c r="I190" s="78" t="s">
        <v>66</v>
      </c>
      <c r="J190" s="107"/>
      <c r="K190" s="78" t="s">
        <v>67</v>
      </c>
    </row>
    <row r="191" spans="1:17">
      <c r="A191" s="78">
        <v>18</v>
      </c>
      <c r="B191" s="71" t="s">
        <v>68</v>
      </c>
      <c r="C191" s="71" t="s">
        <v>606</v>
      </c>
      <c r="D191" s="280">
        <f>'Act Att-H'!D195</f>
        <v>0</v>
      </c>
      <c r="E191" s="107"/>
      <c r="G191" s="114">
        <f>IF(D193&gt;0,D190/D193,0)</f>
        <v>0.9824178405076075</v>
      </c>
      <c r="H191" s="108" t="s">
        <v>69</v>
      </c>
      <c r="I191" s="114">
        <f>I187</f>
        <v>7.0964263854582682E-2</v>
      </c>
      <c r="J191" s="139" t="s">
        <v>61</v>
      </c>
      <c r="K191" s="162">
        <f>I191*G191</f>
        <v>6.9716558849231183E-2</v>
      </c>
    </row>
    <row r="192" spans="1:17">
      <c r="A192" s="78">
        <v>19</v>
      </c>
      <c r="B192" s="71" t="s">
        <v>59</v>
      </c>
      <c r="C192" s="71" t="s">
        <v>607</v>
      </c>
      <c r="D192" s="280">
        <f>'Act Att-H'!D196</f>
        <v>12585516.059999999</v>
      </c>
      <c r="E192" s="107"/>
      <c r="F192" s="107"/>
      <c r="G192" s="107" t="s">
        <v>2</v>
      </c>
      <c r="H192" s="107"/>
      <c r="I192" s="107"/>
      <c r="J192" s="107"/>
      <c r="K192" s="107"/>
    </row>
    <row r="193" spans="1:11">
      <c r="A193" s="78">
        <v>20</v>
      </c>
      <c r="B193" s="181" t="s">
        <v>427</v>
      </c>
      <c r="C193" s="182" t="s">
        <v>428</v>
      </c>
      <c r="D193" s="180">
        <f>D190+D191+D192</f>
        <v>715811733.21999979</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431</v>
      </c>
      <c r="C196" s="71" t="s">
        <v>608</v>
      </c>
      <c r="D196" s="107"/>
      <c r="E196" s="107"/>
      <c r="F196" s="107"/>
      <c r="G196" s="107"/>
      <c r="H196" s="107"/>
      <c r="I196" s="280">
        <f>'Act Att-H'!I200</f>
        <v>16097372</v>
      </c>
      <c r="J196" s="107"/>
      <c r="K196" s="107"/>
    </row>
    <row r="197" spans="1:11" ht="9" customHeight="1">
      <c r="A197" s="78"/>
      <c r="B197" s="107"/>
      <c r="C197" s="107"/>
      <c r="D197" s="107"/>
      <c r="E197" s="107"/>
      <c r="F197" s="107"/>
      <c r="G197" s="107"/>
      <c r="H197" s="107"/>
      <c r="I197" s="107"/>
      <c r="J197" s="107"/>
      <c r="K197" s="107"/>
    </row>
    <row r="198" spans="1:11">
      <c r="A198" s="78">
        <v>22</v>
      </c>
      <c r="B198" s="107" t="s">
        <v>430</v>
      </c>
      <c r="C198" s="71" t="s">
        <v>609</v>
      </c>
      <c r="D198" s="107"/>
      <c r="E198" s="107"/>
      <c r="F198" s="107"/>
      <c r="G198" s="107"/>
      <c r="H198" s="107"/>
      <c r="I198" s="280">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432</v>
      </c>
      <c r="C200" s="107"/>
      <c r="D200" s="107"/>
      <c r="E200" s="107"/>
      <c r="F200" s="107"/>
      <c r="G200" s="107"/>
      <c r="H200" s="107"/>
      <c r="I200" s="107"/>
      <c r="J200" s="107"/>
      <c r="K200" s="107"/>
    </row>
    <row r="201" spans="1:11">
      <c r="A201" s="78">
        <v>23</v>
      </c>
      <c r="B201" s="107" t="s">
        <v>435</v>
      </c>
      <c r="C201" s="71" t="s">
        <v>610</v>
      </c>
      <c r="D201" s="71"/>
      <c r="E201" s="107"/>
      <c r="F201" s="107"/>
      <c r="G201" s="107"/>
      <c r="H201" s="107"/>
      <c r="I201" s="280">
        <f>'Act Att-H'!I205</f>
        <v>247950929</v>
      </c>
      <c r="J201" s="107"/>
      <c r="K201" s="107"/>
    </row>
    <row r="202" spans="1:11">
      <c r="A202" s="78">
        <v>24</v>
      </c>
      <c r="B202" s="107" t="s">
        <v>436</v>
      </c>
      <c r="C202" s="71" t="s">
        <v>611</v>
      </c>
      <c r="D202" s="107"/>
      <c r="E202" s="107"/>
      <c r="F202" s="107"/>
      <c r="G202" s="107"/>
      <c r="H202" s="107"/>
      <c r="I202" s="280">
        <f>'Act Att-H'!I206</f>
        <v>0</v>
      </c>
      <c r="J202" s="107"/>
      <c r="K202" s="107"/>
    </row>
    <row r="203" spans="1:11">
      <c r="A203" s="78">
        <v>25</v>
      </c>
      <c r="B203" s="71" t="s">
        <v>437</v>
      </c>
      <c r="C203" s="71" t="s">
        <v>612</v>
      </c>
      <c r="D203" s="107"/>
      <c r="E203" s="107"/>
      <c r="F203" s="107"/>
      <c r="G203" s="107"/>
      <c r="H203" s="107"/>
      <c r="I203" s="280">
        <f>'Act Att-H'!I207</f>
        <v>0</v>
      </c>
      <c r="J203" s="107"/>
      <c r="K203" s="107"/>
    </row>
    <row r="204" spans="1:11">
      <c r="A204" s="78">
        <v>26</v>
      </c>
      <c r="B204" s="71" t="s">
        <v>952</v>
      </c>
      <c r="C204" s="71" t="s">
        <v>963</v>
      </c>
      <c r="D204" s="107"/>
      <c r="E204" s="107"/>
      <c r="F204" s="107"/>
      <c r="G204" s="107"/>
      <c r="H204" s="107"/>
      <c r="I204" s="280">
        <f>'Act Att-H'!I208</f>
        <v>0</v>
      </c>
      <c r="J204" s="107"/>
      <c r="K204" s="107"/>
    </row>
    <row r="205" spans="1:11">
      <c r="A205" s="78">
        <v>27</v>
      </c>
      <c r="B205" s="181" t="s">
        <v>71</v>
      </c>
      <c r="C205" s="183" t="s">
        <v>964</v>
      </c>
      <c r="D205" s="115"/>
      <c r="E205" s="71"/>
      <c r="F205" s="71"/>
      <c r="G205" s="71"/>
      <c r="H205" s="71"/>
      <c r="I205" s="180">
        <f>I201-I202-I203-I204</f>
        <v>247950929</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440</v>
      </c>
      <c r="C208" s="71" t="s">
        <v>613</v>
      </c>
      <c r="D208" s="280">
        <f>'Act Att-H'!D212</f>
        <v>195000000</v>
      </c>
      <c r="E208" s="166">
        <f>IF($D$211&gt;0,D208/$D$211,0)</f>
        <v>0.44022935100334781</v>
      </c>
      <c r="F208" s="167"/>
      <c r="G208" s="681">
        <f>IF(D208&gt;0,I196/D208,0)</f>
        <v>8.2550625641025638E-2</v>
      </c>
      <c r="I208" s="168">
        <f>G208*E208</f>
        <v>3.6341208350869042E-2</v>
      </c>
      <c r="J208" s="169" t="s">
        <v>75</v>
      </c>
    </row>
    <row r="209" spans="1:11">
      <c r="A209" s="78">
        <v>29</v>
      </c>
      <c r="B209" s="71" t="s">
        <v>441</v>
      </c>
      <c r="C209" s="71" t="s">
        <v>614</v>
      </c>
      <c r="D209" s="280">
        <f>'Act Att-H'!D213</f>
        <v>0</v>
      </c>
      <c r="E209" s="166">
        <f>IF($D$211&gt;0,D209/$D$211,0)</f>
        <v>0</v>
      </c>
      <c r="F209" s="167"/>
      <c r="G209" s="681">
        <f>IF(D209&gt;0,I198/D209,0)</f>
        <v>0</v>
      </c>
      <c r="I209" s="168">
        <f>G209*E209</f>
        <v>0</v>
      </c>
      <c r="J209" s="107"/>
    </row>
    <row r="210" spans="1:11" ht="13.8" thickBot="1">
      <c r="A210" s="78">
        <v>30</v>
      </c>
      <c r="B210" s="71" t="s">
        <v>442</v>
      </c>
      <c r="C210" s="71" t="s">
        <v>1213</v>
      </c>
      <c r="D210" s="280">
        <f>'Act Att-H'!D214</f>
        <v>247950929</v>
      </c>
      <c r="E210" s="166">
        <f>IF($D$211&gt;0,D210/$D$211,0)</f>
        <v>0.55977064899665219</v>
      </c>
      <c r="F210" s="167"/>
      <c r="G210" s="681">
        <f>'Act Att-H'!G214</f>
        <v>9.9000000000000005E-2</v>
      </c>
      <c r="I210" s="170">
        <f>G210*E210</f>
        <v>5.5417294250668568E-2</v>
      </c>
      <c r="J210" s="107"/>
    </row>
    <row r="211" spans="1:11">
      <c r="A211" s="78">
        <v>31</v>
      </c>
      <c r="B211" s="181" t="s">
        <v>388</v>
      </c>
      <c r="C211" s="183" t="s">
        <v>910</v>
      </c>
      <c r="D211" s="180">
        <f>D210+D209+D208</f>
        <v>442950929</v>
      </c>
      <c r="E211" s="107" t="s">
        <v>2</v>
      </c>
      <c r="F211" s="107"/>
      <c r="G211" s="107"/>
      <c r="H211" s="107"/>
      <c r="I211" s="168">
        <f>SUM(I208:I210)</f>
        <v>9.1758502601537617E-2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702</v>
      </c>
      <c r="C214" s="71" t="s">
        <v>724</v>
      </c>
      <c r="D214" s="104"/>
      <c r="E214" s="71"/>
      <c r="F214" s="71"/>
      <c r="G214" s="71"/>
      <c r="H214" s="347"/>
      <c r="I214" s="280">
        <f>'P4-IncentPlant'!F47</f>
        <v>0</v>
      </c>
      <c r="J214" s="347"/>
      <c r="K214" s="347"/>
    </row>
    <row r="215" spans="1:11">
      <c r="B215" s="71"/>
      <c r="C215" s="71"/>
      <c r="D215" s="104"/>
      <c r="E215" s="71"/>
      <c r="F215" s="71"/>
      <c r="G215" s="773"/>
      <c r="H215" s="773"/>
      <c r="I215" s="773"/>
      <c r="J215" s="773"/>
      <c r="K215" s="773"/>
    </row>
    <row r="216" spans="1:11">
      <c r="B216" s="71"/>
      <c r="C216" s="71"/>
      <c r="D216" s="104"/>
      <c r="E216" s="71"/>
      <c r="F216" s="71"/>
      <c r="G216" s="71"/>
      <c r="H216" s="71"/>
      <c r="I216" s="774" t="str">
        <f>I1</f>
        <v>Projected Attachment H</v>
      </c>
      <c r="J216" s="774"/>
      <c r="K216" s="774"/>
    </row>
    <row r="217" spans="1:11">
      <c r="B217" s="71"/>
      <c r="C217" s="71"/>
      <c r="D217" s="104"/>
      <c r="E217" s="71"/>
      <c r="F217" s="71"/>
      <c r="G217" s="71"/>
      <c r="H217" s="71"/>
      <c r="I217" s="71"/>
      <c r="J217" s="773" t="s">
        <v>359</v>
      </c>
      <c r="K217" s="773"/>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12/31/yyyy</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578</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750</v>
      </c>
      <c r="C228" s="107"/>
      <c r="D228" s="108" t="s">
        <v>56</v>
      </c>
      <c r="E228" s="107"/>
      <c r="F228" s="107"/>
      <c r="G228" s="108"/>
      <c r="H228" s="139" t="s">
        <v>2</v>
      </c>
      <c r="I228" s="132"/>
      <c r="J228" s="107"/>
      <c r="K228" s="107"/>
    </row>
    <row r="229" spans="1:11">
      <c r="A229" s="78">
        <v>1</v>
      </c>
      <c r="B229" s="71" t="s">
        <v>26</v>
      </c>
      <c r="C229" s="107" t="s">
        <v>752</v>
      </c>
      <c r="D229" s="280">
        <f>'Act Att-H'!D45</f>
        <v>348280393.26692301</v>
      </c>
      <c r="E229" s="107"/>
      <c r="F229" s="107" t="s">
        <v>27</v>
      </c>
      <c r="G229" s="130" t="s">
        <v>2</v>
      </c>
      <c r="H229" s="107"/>
      <c r="I229" s="107" t="s">
        <v>2</v>
      </c>
      <c r="J229" s="107"/>
      <c r="K229" s="78"/>
    </row>
    <row r="230" spans="1:11">
      <c r="A230" s="78">
        <v>2</v>
      </c>
      <c r="B230" s="71" t="s">
        <v>28</v>
      </c>
      <c r="C230" s="107" t="s">
        <v>760</v>
      </c>
      <c r="D230" s="280">
        <f>D49</f>
        <v>109401329.69000004</v>
      </c>
      <c r="E230" s="107"/>
      <c r="F230" s="107" t="s">
        <v>11</v>
      </c>
      <c r="G230" s="131">
        <f>I170</f>
        <v>0.94993800079121415</v>
      </c>
      <c r="H230" s="107"/>
      <c r="I230" s="63">
        <f>+G230*D230</f>
        <v>103924480.40961914</v>
      </c>
      <c r="J230" s="139"/>
      <c r="K230" s="162"/>
    </row>
    <row r="231" spans="1:11">
      <c r="A231" s="78">
        <v>3</v>
      </c>
      <c r="B231" s="71" t="s">
        <v>29</v>
      </c>
      <c r="C231" s="107" t="s">
        <v>757</v>
      </c>
      <c r="D231" s="280">
        <f>'Act Att-H'!D47</f>
        <v>252209333.70000008</v>
      </c>
      <c r="E231" s="107"/>
      <c r="F231" s="107" t="s">
        <v>27</v>
      </c>
      <c r="G231" s="130" t="s">
        <v>2</v>
      </c>
      <c r="H231" s="107"/>
      <c r="I231" s="63" t="s">
        <v>2</v>
      </c>
      <c r="J231" s="107"/>
      <c r="K231" s="107"/>
    </row>
    <row r="232" spans="1:11">
      <c r="A232" s="78">
        <v>4</v>
      </c>
      <c r="B232" s="71" t="s">
        <v>30</v>
      </c>
      <c r="C232" s="107" t="s">
        <v>758</v>
      </c>
      <c r="D232" s="280">
        <f>'Act Att-H'!D48</f>
        <v>21130047.153076924</v>
      </c>
      <c r="E232" s="107"/>
      <c r="F232" s="107" t="s">
        <v>31</v>
      </c>
      <c r="G232" s="131">
        <f>I187</f>
        <v>7.0964263854582682E-2</v>
      </c>
      <c r="H232" s="107"/>
      <c r="I232" s="63">
        <f>+G232*D232</f>
        <v>1499478.2414307245</v>
      </c>
      <c r="J232" s="107"/>
      <c r="K232" s="107"/>
    </row>
    <row r="233" spans="1:11">
      <c r="A233" s="78">
        <v>5</v>
      </c>
      <c r="B233" s="71" t="s">
        <v>32</v>
      </c>
      <c r="C233" s="107" t="s">
        <v>759</v>
      </c>
      <c r="D233" s="280">
        <f>'Act Att-H'!D49</f>
        <v>12519082</v>
      </c>
      <c r="E233" s="107"/>
      <c r="F233" s="107" t="s">
        <v>67</v>
      </c>
      <c r="G233" s="131">
        <f>K191</f>
        <v>6.9716558849231183E-2</v>
      </c>
      <c r="H233" s="107"/>
      <c r="I233" s="63">
        <f>+G233*D233</f>
        <v>872787.31699135085</v>
      </c>
      <c r="J233" s="107"/>
      <c r="K233" s="107"/>
    </row>
    <row r="234" spans="1:11">
      <c r="A234" s="78">
        <v>6</v>
      </c>
      <c r="B234" s="181" t="s">
        <v>427</v>
      </c>
      <c r="C234" s="182" t="s">
        <v>428</v>
      </c>
      <c r="D234" s="180">
        <f>SUM(D229:D233)</f>
        <v>743540185.81000006</v>
      </c>
      <c r="E234" s="107"/>
      <c r="F234" s="182" t="s">
        <v>33</v>
      </c>
      <c r="G234" s="547">
        <f>IF(I234&gt;0,I234/D234,0)</f>
        <v>0.14296032413129539</v>
      </c>
      <c r="H234" s="107"/>
      <c r="I234" s="184">
        <f>SUM(I229:I233)</f>
        <v>106296745.96804121</v>
      </c>
      <c r="J234" s="107"/>
      <c r="K234" s="107"/>
    </row>
    <row r="235" spans="1:11">
      <c r="A235" s="78"/>
      <c r="B235" s="71"/>
      <c r="C235" s="107"/>
      <c r="D235" s="115"/>
      <c r="E235" s="107"/>
      <c r="F235" s="107"/>
      <c r="G235" s="107"/>
      <c r="H235" s="107"/>
      <c r="I235" s="107"/>
      <c r="J235" s="107"/>
      <c r="K235" s="107"/>
    </row>
    <row r="236" spans="1:11">
      <c r="A236" s="78"/>
      <c r="B236" s="71" t="s">
        <v>751</v>
      </c>
      <c r="C236" s="107"/>
      <c r="D236" s="108" t="s">
        <v>56</v>
      </c>
      <c r="E236" s="107"/>
      <c r="F236" s="107"/>
      <c r="G236" s="108"/>
      <c r="H236" s="139" t="s">
        <v>2</v>
      </c>
      <c r="I236" s="132"/>
      <c r="J236" s="107"/>
      <c r="K236" s="107"/>
    </row>
    <row r="237" spans="1:11">
      <c r="A237" s="78">
        <v>7</v>
      </c>
      <c r="B237" s="71" t="s">
        <v>26</v>
      </c>
      <c r="C237" s="107" t="s">
        <v>753</v>
      </c>
      <c r="D237" s="280">
        <f>'Act Att-H'!D61</f>
        <v>277289407.60691214</v>
      </c>
      <c r="E237" s="107"/>
      <c r="F237" s="107" t="s">
        <v>27</v>
      </c>
      <c r="G237" s="130" t="s">
        <v>2</v>
      </c>
      <c r="H237" s="107"/>
      <c r="I237" s="107" t="s">
        <v>2</v>
      </c>
      <c r="J237" s="107"/>
      <c r="K237" s="78"/>
    </row>
    <row r="238" spans="1:11">
      <c r="A238" s="78">
        <v>8</v>
      </c>
      <c r="B238" s="71" t="s">
        <v>28</v>
      </c>
      <c r="C238" s="107" t="s">
        <v>761</v>
      </c>
      <c r="D238" s="280">
        <f>D59</f>
        <v>97252883.608149886</v>
      </c>
      <c r="E238" s="107"/>
      <c r="F238" s="107" t="s">
        <v>11</v>
      </c>
      <c r="G238" s="131">
        <f>G230</f>
        <v>0.94993800079121415</v>
      </c>
      <c r="H238" s="107"/>
      <c r="I238" s="63">
        <f>+G238*D238</f>
        <v>92384209.825906545</v>
      </c>
      <c r="J238" s="139"/>
      <c r="K238" s="162"/>
    </row>
    <row r="239" spans="1:11">
      <c r="A239" s="78">
        <v>9</v>
      </c>
      <c r="B239" s="71" t="s">
        <v>29</v>
      </c>
      <c r="C239" s="107" t="s">
        <v>754</v>
      </c>
      <c r="D239" s="280">
        <f>'Act Att-H'!D63</f>
        <v>183270888.45110238</v>
      </c>
      <c r="E239" s="107"/>
      <c r="F239" s="107" t="s">
        <v>27</v>
      </c>
      <c r="G239" s="130" t="s">
        <v>2</v>
      </c>
      <c r="H239" s="107"/>
      <c r="I239" s="63" t="s">
        <v>2</v>
      </c>
      <c r="J239" s="107"/>
      <c r="K239" s="107"/>
    </row>
    <row r="240" spans="1:11">
      <c r="A240" s="78">
        <v>10</v>
      </c>
      <c r="B240" s="71" t="s">
        <v>30</v>
      </c>
      <c r="C240" s="107" t="s">
        <v>755</v>
      </c>
      <c r="D240" s="280">
        <f>'Act Att-H'!D64</f>
        <v>15497348.136830579</v>
      </c>
      <c r="E240" s="107"/>
      <c r="F240" s="107" t="s">
        <v>31</v>
      </c>
      <c r="G240" s="131">
        <f>G232</f>
        <v>7.0964263854582682E-2</v>
      </c>
      <c r="H240" s="107"/>
      <c r="I240" s="63">
        <f>+G240*D240</f>
        <v>1099757.9022283705</v>
      </c>
      <c r="J240" s="107"/>
      <c r="K240" s="107"/>
    </row>
    <row r="241" spans="1:11">
      <c r="A241" s="78">
        <v>11</v>
      </c>
      <c r="B241" s="71" t="s">
        <v>32</v>
      </c>
      <c r="C241" s="107" t="s">
        <v>756</v>
      </c>
      <c r="D241" s="280">
        <f>'Act Att-H'!D65</f>
        <v>10033300.615384616</v>
      </c>
      <c r="E241" s="107"/>
      <c r="F241" s="107" t="s">
        <v>67</v>
      </c>
      <c r="G241" s="131">
        <f>G233</f>
        <v>6.9716558849231183E-2</v>
      </c>
      <c r="H241" s="107"/>
      <c r="I241" s="63">
        <f>+G241*D241</f>
        <v>699487.19280448905</v>
      </c>
      <c r="J241" s="107"/>
      <c r="K241" s="107"/>
    </row>
    <row r="242" spans="1:11">
      <c r="A242" s="78">
        <v>12</v>
      </c>
      <c r="B242" s="181" t="s">
        <v>427</v>
      </c>
      <c r="C242" s="182" t="s">
        <v>428</v>
      </c>
      <c r="D242" s="180">
        <f>SUM(D237:D241)</f>
        <v>583343828.41837955</v>
      </c>
      <c r="E242" s="107"/>
      <c r="F242" s="182" t="s">
        <v>34</v>
      </c>
      <c r="G242" s="547">
        <f>IF(I242&gt;0,I242/D242,0)</f>
        <v>0.16145444647335869</v>
      </c>
      <c r="H242" s="107"/>
      <c r="I242" s="184">
        <f>SUM(I237:I241)</f>
        <v>94183454.920939401</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4"/>
      <c r="K247" s="444"/>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760" t="s">
        <v>147</v>
      </c>
      <c r="C250" s="760"/>
      <c r="D250" s="760"/>
      <c r="E250" s="760"/>
      <c r="F250" s="760"/>
      <c r="G250" s="760"/>
      <c r="H250" s="760"/>
      <c r="I250" s="760"/>
      <c r="J250" s="71"/>
      <c r="K250" s="71"/>
    </row>
    <row r="251" spans="1:11">
      <c r="A251" s="85" t="s">
        <v>2</v>
      </c>
      <c r="B251" s="71" t="s">
        <v>450</v>
      </c>
      <c r="C251" s="71" t="s">
        <v>93</v>
      </c>
      <c r="D251" s="173">
        <v>0</v>
      </c>
      <c r="E251" s="71" t="s">
        <v>451</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803"/>
      <c r="C254" s="803"/>
      <c r="D254" s="803"/>
      <c r="E254" s="803"/>
      <c r="F254" s="803"/>
      <c r="G254" s="803"/>
      <c r="H254" s="803"/>
      <c r="I254" s="803"/>
      <c r="J254" s="92"/>
      <c r="K254" s="92"/>
    </row>
    <row r="255" spans="1:11">
      <c r="A255" s="81" t="s">
        <v>80</v>
      </c>
      <c r="B255" s="103" t="s">
        <v>1029</v>
      </c>
      <c r="J255" s="92"/>
      <c r="K255" s="92"/>
    </row>
    <row r="256" spans="1:11">
      <c r="A256" s="27" t="s">
        <v>81</v>
      </c>
      <c r="B256" s="805" t="s">
        <v>1135</v>
      </c>
      <c r="C256" s="805"/>
      <c r="D256" s="805"/>
      <c r="E256" s="805"/>
      <c r="F256" s="805"/>
      <c r="G256" s="805"/>
      <c r="H256" s="805"/>
      <c r="I256" s="805"/>
      <c r="J256" s="92"/>
      <c r="K256" s="92"/>
    </row>
    <row r="257" spans="1:11">
      <c r="A257" s="90"/>
      <c r="B257" s="804"/>
      <c r="C257" s="804"/>
      <c r="D257" s="804"/>
      <c r="E257" s="804"/>
      <c r="F257" s="804"/>
      <c r="G257" s="804"/>
      <c r="H257" s="804"/>
      <c r="I257" s="804"/>
      <c r="J257" s="89"/>
      <c r="K257" s="89"/>
    </row>
    <row r="258" spans="1:11">
      <c r="A258" s="93"/>
      <c r="B258" s="803"/>
      <c r="C258" s="803"/>
      <c r="D258" s="803"/>
      <c r="E258" s="803"/>
      <c r="F258" s="803"/>
      <c r="G258" s="803"/>
      <c r="H258" s="803"/>
      <c r="I258" s="803"/>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764"/>
      <c r="C262" s="764"/>
      <c r="D262" s="764"/>
      <c r="E262" s="764"/>
      <c r="F262" s="764"/>
      <c r="G262" s="764"/>
      <c r="H262" s="764"/>
      <c r="I262" s="764"/>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759"/>
      <c r="C270" s="759"/>
      <c r="D270" s="759"/>
      <c r="E270" s="759"/>
      <c r="F270" s="759"/>
      <c r="G270" s="759"/>
      <c r="H270" s="759"/>
      <c r="I270" s="759"/>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A46" sqref="A46"/>
    </sheetView>
  </sheetViews>
  <sheetFormatPr defaultColWidth="8.7265625" defaultRowHeight="13.2"/>
  <cols>
    <col min="1" max="1" width="3.08984375" style="569" customWidth="1"/>
    <col min="2" max="2" width="6.54296875" style="272" customWidth="1"/>
    <col min="3" max="3" width="4.7265625" style="272" hidden="1" customWidth="1"/>
    <col min="4" max="4" width="12.26953125" style="272" customWidth="1"/>
    <col min="5" max="5" width="11.26953125" style="272" bestFit="1" customWidth="1"/>
    <col min="6" max="6" width="11.08984375" style="272" bestFit="1" customWidth="1"/>
    <col min="7" max="7" width="16.08984375" style="272" customWidth="1"/>
    <col min="8" max="8" width="12" style="272" bestFit="1" customWidth="1"/>
    <col min="9" max="9" width="13.08984375" style="272" bestFit="1" customWidth="1"/>
    <col min="10" max="10" width="10.26953125" style="272" bestFit="1" customWidth="1"/>
    <col min="11" max="12" width="10.26953125" style="272" customWidth="1"/>
    <col min="13" max="14" width="10.7265625" style="272" customWidth="1"/>
    <col min="15" max="15" width="9.54296875" style="272" bestFit="1" customWidth="1"/>
    <col min="16" max="16" width="11.08984375" style="272" customWidth="1"/>
    <col min="17" max="17" width="12.26953125" style="272" customWidth="1"/>
    <col min="18" max="18" width="11.08984375" style="272" customWidth="1"/>
    <col min="19" max="20" width="9.54296875" style="272" customWidth="1"/>
    <col min="21" max="21" width="11.08984375" style="272" customWidth="1"/>
    <col min="22" max="22" width="11.7265625" style="272" customWidth="1"/>
    <col min="23" max="27" width="11.08984375" style="272" customWidth="1"/>
    <col min="28" max="28" width="11.26953125" style="272" customWidth="1"/>
    <col min="29" max="29" width="10.26953125" style="272" customWidth="1"/>
    <col min="30" max="30" width="8.7265625" style="272"/>
    <col min="31" max="31" width="12.7265625" style="272" customWidth="1"/>
    <col min="32" max="32" width="13" style="272" customWidth="1"/>
    <col min="33" max="33" width="13.453125" style="272" customWidth="1"/>
    <col min="34" max="34" width="10.54296875" style="272" customWidth="1"/>
    <col min="35" max="35" width="8.7265625" style="272"/>
    <col min="36" max="36" width="9.54296875" style="272" customWidth="1"/>
    <col min="37" max="37" width="13.453125" style="272" customWidth="1"/>
    <col min="38" max="38" width="10.7265625" style="272" customWidth="1"/>
    <col min="39" max="39" width="10.26953125" style="272" customWidth="1"/>
    <col min="40" max="40" width="11.08984375" style="272" customWidth="1"/>
    <col min="41" max="16384" width="8.7265625" style="272"/>
  </cols>
  <sheetData>
    <row r="1" spans="1:38" ht="13.35" customHeight="1">
      <c r="A1" s="567"/>
      <c r="B1" s="537" t="s">
        <v>537</v>
      </c>
      <c r="C1" s="537"/>
      <c r="D1" s="537"/>
      <c r="E1" s="537"/>
      <c r="F1" s="537"/>
      <c r="G1" s="537"/>
      <c r="H1" s="537"/>
      <c r="I1" s="537"/>
      <c r="J1" s="537"/>
      <c r="K1" s="366"/>
      <c r="L1" s="366"/>
      <c r="M1" s="480"/>
      <c r="N1" s="480"/>
      <c r="Q1" s="480"/>
      <c r="AA1" s="819"/>
      <c r="AB1" s="819"/>
      <c r="AK1" s="819" t="s">
        <v>482</v>
      </c>
      <c r="AL1" s="819"/>
    </row>
    <row r="2" spans="1:38" ht="13.35" customHeight="1">
      <c r="A2" s="567"/>
      <c r="B2" s="537" t="s">
        <v>558</v>
      </c>
      <c r="C2" s="537"/>
      <c r="D2" s="537"/>
      <c r="E2" s="537"/>
      <c r="F2" s="537"/>
      <c r="G2" s="537"/>
      <c r="H2" s="537"/>
      <c r="I2" s="537"/>
      <c r="J2" s="537"/>
      <c r="K2" s="366"/>
      <c r="L2" s="366"/>
      <c r="M2" s="481"/>
      <c r="N2" s="481"/>
      <c r="Q2" s="481"/>
      <c r="AB2" s="481"/>
      <c r="AL2" s="481"/>
    </row>
    <row r="3" spans="1:38" ht="13.35" customHeight="1">
      <c r="A3" s="568"/>
      <c r="B3" s="537" t="str">
        <f>'Act Att-H'!C7</f>
        <v>Cheyenne Light, Fuel &amp; Power</v>
      </c>
      <c r="C3" s="537"/>
      <c r="D3" s="537"/>
      <c r="E3" s="537"/>
      <c r="F3" s="537"/>
      <c r="G3" s="537"/>
      <c r="H3" s="537"/>
      <c r="I3" s="537"/>
      <c r="J3" s="537"/>
      <c r="K3" s="366"/>
      <c r="L3" s="366"/>
    </row>
    <row r="4" spans="1:38" ht="13.35" customHeight="1">
      <c r="I4" s="273"/>
      <c r="J4" s="273" t="s">
        <v>862</v>
      </c>
      <c r="K4" s="273"/>
      <c r="L4" s="273"/>
      <c r="P4" s="273"/>
      <c r="Q4" s="273" t="s">
        <v>483</v>
      </c>
      <c r="V4" s="273" t="s">
        <v>484</v>
      </c>
      <c r="AA4" s="273" t="s">
        <v>863</v>
      </c>
      <c r="AL4" s="272" t="s">
        <v>484</v>
      </c>
    </row>
    <row r="5" spans="1:38">
      <c r="G5" s="55"/>
      <c r="H5" s="55"/>
      <c r="I5" s="55"/>
      <c r="J5" s="55"/>
      <c r="K5" s="55"/>
      <c r="L5" s="55"/>
      <c r="AA5" s="273"/>
    </row>
    <row r="6" spans="1:38">
      <c r="B6" s="813"/>
      <c r="C6" s="813"/>
      <c r="D6" s="813"/>
      <c r="E6" s="813"/>
      <c r="F6" s="814"/>
      <c r="G6" s="482"/>
      <c r="H6" s="483"/>
      <c r="I6" s="483"/>
      <c r="J6" s="484"/>
      <c r="K6" s="276"/>
      <c r="L6" s="276"/>
      <c r="M6" s="276"/>
      <c r="N6" s="276"/>
      <c r="Q6" s="276"/>
      <c r="X6" s="277"/>
    </row>
    <row r="7" spans="1:38">
      <c r="B7" s="815" t="s">
        <v>729</v>
      </c>
      <c r="C7" s="815"/>
      <c r="D7" s="815"/>
      <c r="E7" s="815"/>
      <c r="F7" s="815"/>
      <c r="G7" s="816" t="s">
        <v>490</v>
      </c>
      <c r="H7" s="817"/>
      <c r="I7" s="817"/>
      <c r="J7" s="818"/>
      <c r="K7" s="559"/>
      <c r="L7" s="559"/>
      <c r="M7" s="348"/>
      <c r="N7" s="348"/>
      <c r="Q7" s="348"/>
    </row>
    <row r="8" spans="1:38">
      <c r="G8" s="485"/>
      <c r="H8" s="412"/>
      <c r="I8" s="412"/>
      <c r="J8" s="574"/>
      <c r="K8" s="580"/>
      <c r="L8" s="581"/>
      <c r="M8" s="483"/>
      <c r="N8" s="483"/>
      <c r="O8" s="483"/>
      <c r="P8" s="400"/>
      <c r="Q8" s="590"/>
      <c r="R8" s="482"/>
      <c r="S8" s="811" t="s">
        <v>912</v>
      </c>
      <c r="T8" s="811"/>
      <c r="U8" s="811"/>
      <c r="V8" s="812"/>
      <c r="W8" s="820" t="s">
        <v>913</v>
      </c>
      <c r="X8" s="811"/>
      <c r="Y8" s="811"/>
      <c r="Z8" s="811"/>
      <c r="AA8" s="812"/>
    </row>
    <row r="9" spans="1:38">
      <c r="G9" s="349"/>
      <c r="H9" s="412"/>
      <c r="I9" s="412" t="s">
        <v>491</v>
      </c>
      <c r="J9" s="486" t="s">
        <v>491</v>
      </c>
      <c r="K9" s="487"/>
      <c r="L9" s="807" t="s">
        <v>869</v>
      </c>
      <c r="M9" s="807"/>
      <c r="N9" s="298"/>
      <c r="O9" s="298"/>
      <c r="P9" s="809" t="s">
        <v>897</v>
      </c>
      <c r="Q9" s="810"/>
      <c r="R9" s="351"/>
      <c r="S9" s="275"/>
      <c r="T9" s="275"/>
      <c r="U9" s="275"/>
      <c r="V9" s="283"/>
      <c r="W9" s="351"/>
      <c r="X9" s="275"/>
      <c r="Y9" s="275"/>
      <c r="Z9" s="275"/>
      <c r="AA9" s="283"/>
    </row>
    <row r="10" spans="1:38">
      <c r="B10" s="390" t="s">
        <v>268</v>
      </c>
      <c r="G10" s="487" t="s">
        <v>492</v>
      </c>
      <c r="H10" s="298"/>
      <c r="I10" s="298" t="s">
        <v>486</v>
      </c>
      <c r="J10" s="488" t="s">
        <v>493</v>
      </c>
      <c r="K10" s="487" t="s">
        <v>876</v>
      </c>
      <c r="L10" s="807" t="s">
        <v>868</v>
      </c>
      <c r="M10" s="807"/>
      <c r="N10" s="807" t="s">
        <v>896</v>
      </c>
      <c r="O10" s="807"/>
      <c r="P10" s="809" t="s">
        <v>914</v>
      </c>
      <c r="Q10" s="810"/>
      <c r="R10" s="487" t="s">
        <v>877</v>
      </c>
      <c r="S10" s="298" t="s">
        <v>871</v>
      </c>
      <c r="T10" s="298" t="s">
        <v>872</v>
      </c>
      <c r="U10" s="298"/>
      <c r="V10" s="488"/>
      <c r="W10" s="487" t="s">
        <v>877</v>
      </c>
      <c r="X10" s="298" t="s">
        <v>871</v>
      </c>
      <c r="Y10" s="298" t="s">
        <v>872</v>
      </c>
      <c r="Z10" s="298"/>
      <c r="AA10" s="488"/>
    </row>
    <row r="11" spans="1:38" ht="16.5" customHeight="1" thickBot="1">
      <c r="A11" s="571" t="s">
        <v>878</v>
      </c>
      <c r="B11" s="489" t="s">
        <v>657</v>
      </c>
      <c r="C11" s="489"/>
      <c r="D11" s="489" t="s">
        <v>485</v>
      </c>
      <c r="E11" s="489" t="s">
        <v>486</v>
      </c>
      <c r="F11" s="489" t="s">
        <v>487</v>
      </c>
      <c r="G11" s="490" t="s">
        <v>645</v>
      </c>
      <c r="H11" s="491" t="s">
        <v>494</v>
      </c>
      <c r="I11" s="491" t="s">
        <v>646</v>
      </c>
      <c r="J11" s="492" t="s">
        <v>486</v>
      </c>
      <c r="K11" s="561" t="s">
        <v>875</v>
      </c>
      <c r="L11" s="562" t="s">
        <v>912</v>
      </c>
      <c r="M11" s="562" t="s">
        <v>913</v>
      </c>
      <c r="N11" s="562" t="s">
        <v>912</v>
      </c>
      <c r="O11" s="562" t="s">
        <v>913</v>
      </c>
      <c r="P11" s="562" t="s">
        <v>912</v>
      </c>
      <c r="Q11" s="693" t="s">
        <v>913</v>
      </c>
      <c r="R11" s="565" t="s">
        <v>563</v>
      </c>
      <c r="S11" s="563" t="s">
        <v>486</v>
      </c>
      <c r="T11" s="563" t="s">
        <v>865</v>
      </c>
      <c r="U11" s="563" t="s">
        <v>866</v>
      </c>
      <c r="V11" s="566" t="s">
        <v>867</v>
      </c>
      <c r="W11" s="565" t="s">
        <v>563</v>
      </c>
      <c r="X11" s="563" t="s">
        <v>486</v>
      </c>
      <c r="Y11" s="563" t="s">
        <v>865</v>
      </c>
      <c r="Z11" s="563" t="s">
        <v>866</v>
      </c>
      <c r="AA11" s="566" t="s">
        <v>867</v>
      </c>
    </row>
    <row r="12" spans="1:38">
      <c r="A12" s="570">
        <v>1</v>
      </c>
      <c r="G12" s="351"/>
      <c r="H12" s="493"/>
      <c r="I12" s="494">
        <f>IF('Act Att-H'!D46=0,0,ROUND('Act Att-H'!D119/'Act Att-H'!D46,6)/12)</f>
        <v>1.7783333333333334E-3</v>
      </c>
      <c r="J12" s="495"/>
      <c r="K12" s="351"/>
      <c r="L12" s="275"/>
      <c r="M12" s="275"/>
      <c r="N12" s="275"/>
      <c r="O12" s="275"/>
      <c r="P12" s="278"/>
      <c r="Q12" s="694"/>
      <c r="R12" s="351"/>
      <c r="S12" s="275"/>
      <c r="T12" s="275"/>
      <c r="U12" s="275"/>
      <c r="V12" s="283"/>
      <c r="W12" s="351"/>
      <c r="X12" s="275"/>
      <c r="Y12" s="275"/>
      <c r="Z12" s="275"/>
      <c r="AA12" s="283"/>
    </row>
    <row r="13" spans="1:38">
      <c r="A13" s="570">
        <v>2</v>
      </c>
      <c r="G13" s="351"/>
      <c r="H13" s="275"/>
      <c r="I13" s="496"/>
      <c r="J13" s="283"/>
      <c r="K13" s="351"/>
      <c r="L13" s="275"/>
      <c r="M13" s="275"/>
      <c r="N13" s="275" t="s">
        <v>870</v>
      </c>
      <c r="O13" s="275"/>
      <c r="P13" s="278"/>
      <c r="Q13" s="694"/>
      <c r="R13" s="351"/>
      <c r="S13" s="275"/>
      <c r="T13" s="275"/>
      <c r="U13" s="275"/>
      <c r="V13" s="283"/>
      <c r="W13" s="351"/>
      <c r="X13" s="275"/>
      <c r="Y13" s="275"/>
      <c r="Z13" s="275"/>
      <c r="AA13" s="283"/>
    </row>
    <row r="14" spans="1:38" ht="25.5" customHeight="1">
      <c r="A14" s="570">
        <v>3</v>
      </c>
      <c r="B14" s="292"/>
      <c r="C14" s="292"/>
      <c r="D14" s="497"/>
      <c r="E14" s="498"/>
      <c r="F14" s="282"/>
      <c r="G14" s="576" t="s">
        <v>1222</v>
      </c>
      <c r="H14" s="350">
        <f>'A4-Rate Base'!D22</f>
        <v>109401329.69000001</v>
      </c>
      <c r="I14" s="498"/>
      <c r="J14" s="281">
        <f>'A4-Rate Base'!F45</f>
        <v>8646509.5184732489</v>
      </c>
      <c r="K14" s="351"/>
      <c r="L14" s="275"/>
      <c r="M14" s="282"/>
      <c r="N14" s="282"/>
      <c r="O14" s="275"/>
      <c r="P14" s="592">
        <v>0</v>
      </c>
      <c r="Q14" s="695">
        <v>0</v>
      </c>
      <c r="R14" s="351"/>
      <c r="S14" s="275"/>
      <c r="T14" s="275"/>
      <c r="U14" s="275"/>
      <c r="V14" s="283"/>
      <c r="W14" s="351"/>
      <c r="X14" s="275"/>
      <c r="Y14" s="275"/>
      <c r="Z14" s="275"/>
      <c r="AA14" s="283"/>
    </row>
    <row r="15" spans="1:38">
      <c r="G15" s="351"/>
      <c r="H15" s="275"/>
      <c r="I15" s="275"/>
      <c r="J15" s="283"/>
      <c r="K15" s="351"/>
      <c r="L15" s="275"/>
      <c r="M15" s="275"/>
      <c r="N15" s="275"/>
      <c r="O15" s="275"/>
      <c r="P15" s="278"/>
      <c r="Q15" s="694"/>
      <c r="R15" s="351"/>
      <c r="S15" s="275"/>
      <c r="T15" s="275"/>
      <c r="U15" s="275"/>
      <c r="V15" s="283"/>
      <c r="W15" s="351"/>
      <c r="X15" s="275"/>
      <c r="Y15" s="275"/>
      <c r="Z15" s="275"/>
      <c r="AA15" s="283"/>
    </row>
    <row r="16" spans="1:38" s="575" customFormat="1">
      <c r="A16" s="740"/>
      <c r="B16" s="741" t="s">
        <v>509</v>
      </c>
      <c r="C16" s="741"/>
      <c r="D16" s="741" t="s">
        <v>510</v>
      </c>
      <c r="E16" s="741" t="s">
        <v>511</v>
      </c>
      <c r="F16" s="741" t="s">
        <v>512</v>
      </c>
      <c r="G16" s="742" t="s">
        <v>513</v>
      </c>
      <c r="H16" s="741" t="s">
        <v>514</v>
      </c>
      <c r="I16" s="741" t="s">
        <v>879</v>
      </c>
      <c r="J16" s="743" t="s">
        <v>880</v>
      </c>
      <c r="K16" s="742" t="s">
        <v>881</v>
      </c>
      <c r="L16" s="741" t="s">
        <v>882</v>
      </c>
      <c r="M16" s="744" t="s">
        <v>883</v>
      </c>
      <c r="N16" s="741" t="s">
        <v>884</v>
      </c>
      <c r="O16" s="741" t="s">
        <v>885</v>
      </c>
      <c r="P16" s="741" t="s">
        <v>886</v>
      </c>
      <c r="Q16" s="745" t="s">
        <v>887</v>
      </c>
      <c r="R16" s="742" t="s">
        <v>888</v>
      </c>
      <c r="S16" s="741" t="s">
        <v>889</v>
      </c>
      <c r="T16" s="741" t="s">
        <v>890</v>
      </c>
      <c r="U16" s="741" t="s">
        <v>891</v>
      </c>
      <c r="V16" s="743" t="s">
        <v>892</v>
      </c>
      <c r="W16" s="742" t="s">
        <v>893</v>
      </c>
      <c r="X16" s="741" t="s">
        <v>1205</v>
      </c>
      <c r="Y16" s="741" t="s">
        <v>1206</v>
      </c>
      <c r="Z16" s="741" t="s">
        <v>1207</v>
      </c>
      <c r="AA16" s="743" t="s">
        <v>1208</v>
      </c>
    </row>
    <row r="17" spans="1:27">
      <c r="G17" s="352"/>
      <c r="H17" s="284"/>
      <c r="I17" s="275"/>
      <c r="J17" s="283"/>
      <c r="K17" s="351"/>
      <c r="L17" s="275"/>
      <c r="M17" s="275"/>
      <c r="N17" s="275"/>
      <c r="O17" s="275"/>
      <c r="P17" s="278"/>
      <c r="Q17" s="694"/>
      <c r="R17" s="351"/>
      <c r="S17" s="275"/>
      <c r="T17" s="275"/>
      <c r="U17" s="275"/>
      <c r="V17" s="283"/>
      <c r="W17" s="351"/>
      <c r="X17" s="275"/>
      <c r="Y17" s="275"/>
      <c r="Z17" s="275"/>
      <c r="AA17" s="283"/>
    </row>
    <row r="18" spans="1:27">
      <c r="A18" s="570">
        <f>+A14+1</f>
        <v>4</v>
      </c>
      <c r="B18" s="285" t="s">
        <v>1223</v>
      </c>
      <c r="C18" s="499"/>
      <c r="D18" s="409">
        <f>H18</f>
        <v>109401329.69000001</v>
      </c>
      <c r="E18" s="409">
        <f>I18</f>
        <v>194552.0312987167</v>
      </c>
      <c r="F18" s="409">
        <f>J18</f>
        <v>8841061.5497719664</v>
      </c>
      <c r="G18" s="500">
        <v>0</v>
      </c>
      <c r="H18" s="501">
        <f>H$14+G18</f>
        <v>109401329.69000001</v>
      </c>
      <c r="I18" s="502">
        <f>I$12*H14</f>
        <v>194552.0312987167</v>
      </c>
      <c r="J18" s="503">
        <f>J14+I18</f>
        <v>8841061.5497719664</v>
      </c>
      <c r="K18" s="696">
        <f>G18</f>
        <v>0</v>
      </c>
      <c r="L18" s="560">
        <v>0</v>
      </c>
      <c r="M18" s="560">
        <v>0</v>
      </c>
      <c r="N18" s="275">
        <f t="shared" ref="N18:N29" si="0">K18*L18</f>
        <v>0</v>
      </c>
      <c r="O18" s="275">
        <f t="shared" ref="O18:O29" si="1">K18*M18</f>
        <v>0</v>
      </c>
      <c r="P18" s="278">
        <f t="shared" ref="P18:P29" si="2">(P$14)/12</f>
        <v>0</v>
      </c>
      <c r="Q18" s="697"/>
      <c r="R18" s="706">
        <f>N$42/12+P18</f>
        <v>0</v>
      </c>
      <c r="S18" s="707">
        <f>E18</f>
        <v>194552.0312987167</v>
      </c>
      <c r="T18" s="707">
        <f>S18-R18</f>
        <v>194552.0312987167</v>
      </c>
      <c r="U18" s="708">
        <f>+'Proj Att-H'!$D$133</f>
        <v>0</v>
      </c>
      <c r="V18" s="709">
        <f>T18*U18</f>
        <v>0</v>
      </c>
      <c r="W18" s="710"/>
      <c r="X18" s="698"/>
      <c r="Y18" s="698"/>
      <c r="Z18" s="698"/>
      <c r="AA18" s="697"/>
    </row>
    <row r="19" spans="1:27">
      <c r="A19" s="570">
        <f t="shared" ref="A19:A41" si="3">+A18+1</f>
        <v>5</v>
      </c>
      <c r="B19" s="285" t="s">
        <v>1223</v>
      </c>
      <c r="C19" s="499"/>
      <c r="D19" s="409">
        <f t="shared" ref="D19:D41" si="4">H19</f>
        <v>109401329.69000001</v>
      </c>
      <c r="E19" s="409">
        <f t="shared" ref="E19:E41" si="5">I19</f>
        <v>194552.0312987167</v>
      </c>
      <c r="F19" s="409">
        <f t="shared" ref="F19:F41" si="6">J19</f>
        <v>9035613.5810706839</v>
      </c>
      <c r="G19" s="500">
        <v>0</v>
      </c>
      <c r="H19" s="501">
        <f t="shared" ref="H19:H41" si="7">H$14+G19</f>
        <v>109401329.69000001</v>
      </c>
      <c r="I19" s="502">
        <f>I$12*H18</f>
        <v>194552.0312987167</v>
      </c>
      <c r="J19" s="503">
        <f t="shared" ref="J19:J41" si="8">J18+I19</f>
        <v>9035613.5810706839</v>
      </c>
      <c r="K19" s="696">
        <f>G19-G18</f>
        <v>0</v>
      </c>
      <c r="L19" s="560">
        <v>0</v>
      </c>
      <c r="M19" s="560">
        <v>0</v>
      </c>
      <c r="N19" s="275">
        <f t="shared" si="0"/>
        <v>0</v>
      </c>
      <c r="O19" s="275">
        <f t="shared" si="1"/>
        <v>0</v>
      </c>
      <c r="P19" s="278">
        <f t="shared" si="2"/>
        <v>0</v>
      </c>
      <c r="Q19" s="697"/>
      <c r="R19" s="706">
        <f t="shared" ref="R19:R29" si="9">N$42/12+P19</f>
        <v>0</v>
      </c>
      <c r="S19" s="707">
        <f t="shared" ref="S19:S29" si="10">E19</f>
        <v>194552.0312987167</v>
      </c>
      <c r="T19" s="707">
        <f t="shared" ref="T19:T29" si="11">S19-R19</f>
        <v>194552.0312987167</v>
      </c>
      <c r="U19" s="708">
        <f>+'Proj Att-H'!$D$133</f>
        <v>0</v>
      </c>
      <c r="V19" s="709">
        <f t="shared" ref="V19:V29" si="12">T19*U19</f>
        <v>0</v>
      </c>
      <c r="W19" s="710"/>
      <c r="X19" s="698"/>
      <c r="Y19" s="698"/>
      <c r="Z19" s="698"/>
      <c r="AA19" s="697"/>
    </row>
    <row r="20" spans="1:27">
      <c r="A20" s="570">
        <f t="shared" si="3"/>
        <v>6</v>
      </c>
      <c r="B20" s="285" t="s">
        <v>1223</v>
      </c>
      <c r="C20" s="499"/>
      <c r="D20" s="409">
        <f t="shared" si="4"/>
        <v>109401329.69000001</v>
      </c>
      <c r="E20" s="409">
        <f t="shared" si="5"/>
        <v>194552.0312987167</v>
      </c>
      <c r="F20" s="409">
        <f t="shared" si="6"/>
        <v>9230165.6123694014</v>
      </c>
      <c r="G20" s="500">
        <v>0</v>
      </c>
      <c r="H20" s="501">
        <f t="shared" si="7"/>
        <v>109401329.69000001</v>
      </c>
      <c r="I20" s="502">
        <f t="shared" ref="I20:I41" si="13">I$12*H19</f>
        <v>194552.0312987167</v>
      </c>
      <c r="J20" s="503">
        <f t="shared" si="8"/>
        <v>9230165.6123694014</v>
      </c>
      <c r="K20" s="696">
        <f t="shared" ref="K20:K41" si="14">G20-G19</f>
        <v>0</v>
      </c>
      <c r="L20" s="560">
        <v>0</v>
      </c>
      <c r="M20" s="560">
        <v>0</v>
      </c>
      <c r="N20" s="275">
        <f t="shared" si="0"/>
        <v>0</v>
      </c>
      <c r="O20" s="275">
        <f t="shared" si="1"/>
        <v>0</v>
      </c>
      <c r="P20" s="278">
        <f t="shared" si="2"/>
        <v>0</v>
      </c>
      <c r="Q20" s="697"/>
      <c r="R20" s="706">
        <f t="shared" si="9"/>
        <v>0</v>
      </c>
      <c r="S20" s="707">
        <f t="shared" si="10"/>
        <v>194552.0312987167</v>
      </c>
      <c r="T20" s="707">
        <f t="shared" si="11"/>
        <v>194552.0312987167</v>
      </c>
      <c r="U20" s="708">
        <f>+'Proj Att-H'!$D$133</f>
        <v>0</v>
      </c>
      <c r="V20" s="709">
        <f t="shared" si="12"/>
        <v>0</v>
      </c>
      <c r="W20" s="710"/>
      <c r="X20" s="698"/>
      <c r="Y20" s="698"/>
      <c r="Z20" s="698"/>
      <c r="AA20" s="697"/>
    </row>
    <row r="21" spans="1:27">
      <c r="A21" s="570">
        <f t="shared" si="3"/>
        <v>7</v>
      </c>
      <c r="B21" s="285" t="s">
        <v>1223</v>
      </c>
      <c r="C21" s="499"/>
      <c r="D21" s="409">
        <f t="shared" si="4"/>
        <v>109401329.69000001</v>
      </c>
      <c r="E21" s="409">
        <f t="shared" si="5"/>
        <v>194552.0312987167</v>
      </c>
      <c r="F21" s="409">
        <f t="shared" si="6"/>
        <v>9424717.6436681189</v>
      </c>
      <c r="G21" s="500">
        <v>0</v>
      </c>
      <c r="H21" s="501">
        <f t="shared" si="7"/>
        <v>109401329.69000001</v>
      </c>
      <c r="I21" s="502">
        <f t="shared" si="13"/>
        <v>194552.0312987167</v>
      </c>
      <c r="J21" s="503">
        <f t="shared" si="8"/>
        <v>9424717.6436681189</v>
      </c>
      <c r="K21" s="696">
        <f t="shared" si="14"/>
        <v>0</v>
      </c>
      <c r="L21" s="560">
        <v>0</v>
      </c>
      <c r="M21" s="560">
        <v>0</v>
      </c>
      <c r="N21" s="275">
        <f t="shared" si="0"/>
        <v>0</v>
      </c>
      <c r="O21" s="275">
        <f t="shared" si="1"/>
        <v>0</v>
      </c>
      <c r="P21" s="278">
        <f t="shared" si="2"/>
        <v>0</v>
      </c>
      <c r="Q21" s="697"/>
      <c r="R21" s="706">
        <f t="shared" si="9"/>
        <v>0</v>
      </c>
      <c r="S21" s="707">
        <f t="shared" si="10"/>
        <v>194552.0312987167</v>
      </c>
      <c r="T21" s="707">
        <f t="shared" si="11"/>
        <v>194552.0312987167</v>
      </c>
      <c r="U21" s="708">
        <f>+'Proj Att-H'!$D$133</f>
        <v>0</v>
      </c>
      <c r="V21" s="709">
        <f t="shared" si="12"/>
        <v>0</v>
      </c>
      <c r="W21" s="710"/>
      <c r="X21" s="698"/>
      <c r="Y21" s="698"/>
      <c r="Z21" s="698"/>
      <c r="AA21" s="697"/>
    </row>
    <row r="22" spans="1:27">
      <c r="A22" s="570">
        <f t="shared" si="3"/>
        <v>8</v>
      </c>
      <c r="B22" s="285" t="s">
        <v>1223</v>
      </c>
      <c r="C22" s="499"/>
      <c r="D22" s="409">
        <f t="shared" si="4"/>
        <v>109401329.69000001</v>
      </c>
      <c r="E22" s="409">
        <f t="shared" si="5"/>
        <v>194552.0312987167</v>
      </c>
      <c r="F22" s="409">
        <f t="shared" si="6"/>
        <v>9619269.6749668363</v>
      </c>
      <c r="G22" s="500">
        <v>0</v>
      </c>
      <c r="H22" s="501">
        <f t="shared" si="7"/>
        <v>109401329.69000001</v>
      </c>
      <c r="I22" s="502">
        <f t="shared" si="13"/>
        <v>194552.0312987167</v>
      </c>
      <c r="J22" s="503">
        <f t="shared" si="8"/>
        <v>9619269.6749668363</v>
      </c>
      <c r="K22" s="696">
        <f t="shared" si="14"/>
        <v>0</v>
      </c>
      <c r="L22" s="560">
        <v>0</v>
      </c>
      <c r="M22" s="560">
        <v>0</v>
      </c>
      <c r="N22" s="275">
        <f t="shared" si="0"/>
        <v>0</v>
      </c>
      <c r="O22" s="275">
        <f t="shared" si="1"/>
        <v>0</v>
      </c>
      <c r="P22" s="278">
        <f t="shared" si="2"/>
        <v>0</v>
      </c>
      <c r="Q22" s="697"/>
      <c r="R22" s="706">
        <f t="shared" si="9"/>
        <v>0</v>
      </c>
      <c r="S22" s="707">
        <f t="shared" si="10"/>
        <v>194552.0312987167</v>
      </c>
      <c r="T22" s="707">
        <f t="shared" si="11"/>
        <v>194552.0312987167</v>
      </c>
      <c r="U22" s="708">
        <f>+'Proj Att-H'!$D$133</f>
        <v>0</v>
      </c>
      <c r="V22" s="709">
        <f t="shared" si="12"/>
        <v>0</v>
      </c>
      <c r="W22" s="710"/>
      <c r="X22" s="698"/>
      <c r="Y22" s="698"/>
      <c r="Z22" s="698"/>
      <c r="AA22" s="697"/>
    </row>
    <row r="23" spans="1:27">
      <c r="A23" s="570">
        <f t="shared" si="3"/>
        <v>9</v>
      </c>
      <c r="B23" s="285" t="s">
        <v>1223</v>
      </c>
      <c r="C23" s="499"/>
      <c r="D23" s="409">
        <f t="shared" si="4"/>
        <v>109401329.69000001</v>
      </c>
      <c r="E23" s="409">
        <f t="shared" si="5"/>
        <v>194552.0312987167</v>
      </c>
      <c r="F23" s="409">
        <f t="shared" si="6"/>
        <v>9813821.7062655538</v>
      </c>
      <c r="G23" s="500">
        <v>0</v>
      </c>
      <c r="H23" s="501">
        <f t="shared" si="7"/>
        <v>109401329.69000001</v>
      </c>
      <c r="I23" s="502">
        <f t="shared" si="13"/>
        <v>194552.0312987167</v>
      </c>
      <c r="J23" s="503">
        <f t="shared" si="8"/>
        <v>9813821.7062655538</v>
      </c>
      <c r="K23" s="696">
        <f t="shared" si="14"/>
        <v>0</v>
      </c>
      <c r="L23" s="560">
        <v>0</v>
      </c>
      <c r="M23" s="560">
        <v>0</v>
      </c>
      <c r="N23" s="275">
        <f t="shared" si="0"/>
        <v>0</v>
      </c>
      <c r="O23" s="275">
        <f t="shared" si="1"/>
        <v>0</v>
      </c>
      <c r="P23" s="278">
        <f t="shared" si="2"/>
        <v>0</v>
      </c>
      <c r="Q23" s="697"/>
      <c r="R23" s="706">
        <f t="shared" si="9"/>
        <v>0</v>
      </c>
      <c r="S23" s="707">
        <f t="shared" si="10"/>
        <v>194552.0312987167</v>
      </c>
      <c r="T23" s="707">
        <f t="shared" si="11"/>
        <v>194552.0312987167</v>
      </c>
      <c r="U23" s="708">
        <f>+'Proj Att-H'!$D$133</f>
        <v>0</v>
      </c>
      <c r="V23" s="709">
        <f t="shared" si="12"/>
        <v>0</v>
      </c>
      <c r="W23" s="710"/>
      <c r="X23" s="698"/>
      <c r="Y23" s="698"/>
      <c r="Z23" s="698"/>
      <c r="AA23" s="697"/>
    </row>
    <row r="24" spans="1:27">
      <c r="A24" s="570">
        <f t="shared" si="3"/>
        <v>10</v>
      </c>
      <c r="B24" s="285" t="s">
        <v>1223</v>
      </c>
      <c r="C24" s="499"/>
      <c r="D24" s="409">
        <f t="shared" si="4"/>
        <v>109401329.69000001</v>
      </c>
      <c r="E24" s="409">
        <f t="shared" si="5"/>
        <v>194552.0312987167</v>
      </c>
      <c r="F24" s="409">
        <f t="shared" si="6"/>
        <v>10008373.737564271</v>
      </c>
      <c r="G24" s="500">
        <v>0</v>
      </c>
      <c r="H24" s="501">
        <f t="shared" si="7"/>
        <v>109401329.69000001</v>
      </c>
      <c r="I24" s="502">
        <f t="shared" si="13"/>
        <v>194552.0312987167</v>
      </c>
      <c r="J24" s="503">
        <f t="shared" si="8"/>
        <v>10008373.737564271</v>
      </c>
      <c r="K24" s="696">
        <f t="shared" si="14"/>
        <v>0</v>
      </c>
      <c r="L24" s="560">
        <v>0</v>
      </c>
      <c r="M24" s="560">
        <v>0</v>
      </c>
      <c r="N24" s="275">
        <f t="shared" si="0"/>
        <v>0</v>
      </c>
      <c r="O24" s="275">
        <f t="shared" si="1"/>
        <v>0</v>
      </c>
      <c r="P24" s="278">
        <f t="shared" si="2"/>
        <v>0</v>
      </c>
      <c r="Q24" s="697"/>
      <c r="R24" s="706">
        <f t="shared" si="9"/>
        <v>0</v>
      </c>
      <c r="S24" s="707">
        <f t="shared" si="10"/>
        <v>194552.0312987167</v>
      </c>
      <c r="T24" s="707">
        <f t="shared" si="11"/>
        <v>194552.0312987167</v>
      </c>
      <c r="U24" s="708">
        <f>+'Proj Att-H'!$D$133</f>
        <v>0</v>
      </c>
      <c r="V24" s="709">
        <f t="shared" si="12"/>
        <v>0</v>
      </c>
      <c r="W24" s="710"/>
      <c r="X24" s="698"/>
      <c r="Y24" s="698"/>
      <c r="Z24" s="698"/>
      <c r="AA24" s="697"/>
    </row>
    <row r="25" spans="1:27">
      <c r="A25" s="570">
        <f t="shared" si="3"/>
        <v>11</v>
      </c>
      <c r="B25" s="285" t="s">
        <v>1223</v>
      </c>
      <c r="C25" s="499"/>
      <c r="D25" s="409">
        <f t="shared" si="4"/>
        <v>109401329.69000001</v>
      </c>
      <c r="E25" s="409">
        <f t="shared" si="5"/>
        <v>194552.0312987167</v>
      </c>
      <c r="F25" s="409">
        <f t="shared" si="6"/>
        <v>10202925.768862989</v>
      </c>
      <c r="G25" s="500">
        <v>0</v>
      </c>
      <c r="H25" s="501">
        <f t="shared" si="7"/>
        <v>109401329.69000001</v>
      </c>
      <c r="I25" s="502">
        <f t="shared" si="13"/>
        <v>194552.0312987167</v>
      </c>
      <c r="J25" s="503">
        <f t="shared" si="8"/>
        <v>10202925.768862989</v>
      </c>
      <c r="K25" s="696">
        <f t="shared" si="14"/>
        <v>0</v>
      </c>
      <c r="L25" s="560">
        <v>0</v>
      </c>
      <c r="M25" s="560">
        <v>0</v>
      </c>
      <c r="N25" s="275">
        <f t="shared" si="0"/>
        <v>0</v>
      </c>
      <c r="O25" s="275">
        <f t="shared" si="1"/>
        <v>0</v>
      </c>
      <c r="P25" s="278">
        <f t="shared" si="2"/>
        <v>0</v>
      </c>
      <c r="Q25" s="697"/>
      <c r="R25" s="706">
        <f t="shared" si="9"/>
        <v>0</v>
      </c>
      <c r="S25" s="707">
        <f t="shared" si="10"/>
        <v>194552.0312987167</v>
      </c>
      <c r="T25" s="707">
        <f t="shared" si="11"/>
        <v>194552.0312987167</v>
      </c>
      <c r="U25" s="708">
        <f>+'Proj Att-H'!$D$133</f>
        <v>0</v>
      </c>
      <c r="V25" s="709">
        <f t="shared" si="12"/>
        <v>0</v>
      </c>
      <c r="W25" s="710"/>
      <c r="X25" s="698"/>
      <c r="Y25" s="698"/>
      <c r="Z25" s="698"/>
      <c r="AA25" s="697"/>
    </row>
    <row r="26" spans="1:27">
      <c r="A26" s="570">
        <f t="shared" si="3"/>
        <v>12</v>
      </c>
      <c r="B26" s="285" t="s">
        <v>1223</v>
      </c>
      <c r="C26" s="499"/>
      <c r="D26" s="409">
        <f t="shared" si="4"/>
        <v>109401329.69000001</v>
      </c>
      <c r="E26" s="409">
        <f t="shared" si="5"/>
        <v>194552.0312987167</v>
      </c>
      <c r="F26" s="409">
        <f t="shared" si="6"/>
        <v>10397477.800161706</v>
      </c>
      <c r="G26" s="500">
        <v>0</v>
      </c>
      <c r="H26" s="501">
        <f t="shared" si="7"/>
        <v>109401329.69000001</v>
      </c>
      <c r="I26" s="502">
        <f t="shared" si="13"/>
        <v>194552.0312987167</v>
      </c>
      <c r="J26" s="503">
        <f t="shared" si="8"/>
        <v>10397477.800161706</v>
      </c>
      <c r="K26" s="696">
        <f t="shared" si="14"/>
        <v>0</v>
      </c>
      <c r="L26" s="560">
        <v>0</v>
      </c>
      <c r="M26" s="560">
        <v>0</v>
      </c>
      <c r="N26" s="275">
        <f t="shared" si="0"/>
        <v>0</v>
      </c>
      <c r="O26" s="275">
        <f t="shared" si="1"/>
        <v>0</v>
      </c>
      <c r="P26" s="278">
        <f t="shared" si="2"/>
        <v>0</v>
      </c>
      <c r="Q26" s="697"/>
      <c r="R26" s="706">
        <f t="shared" si="9"/>
        <v>0</v>
      </c>
      <c r="S26" s="707">
        <f t="shared" si="10"/>
        <v>194552.0312987167</v>
      </c>
      <c r="T26" s="707">
        <f t="shared" si="11"/>
        <v>194552.0312987167</v>
      </c>
      <c r="U26" s="708">
        <f>+'Proj Att-H'!$D$133</f>
        <v>0</v>
      </c>
      <c r="V26" s="709">
        <f t="shared" si="12"/>
        <v>0</v>
      </c>
      <c r="W26" s="710"/>
      <c r="X26" s="698"/>
      <c r="Y26" s="698"/>
      <c r="Z26" s="698"/>
      <c r="AA26" s="697"/>
    </row>
    <row r="27" spans="1:27">
      <c r="A27" s="570">
        <f t="shared" si="3"/>
        <v>13</v>
      </c>
      <c r="B27" s="285" t="s">
        <v>1223</v>
      </c>
      <c r="C27" s="499"/>
      <c r="D27" s="409">
        <f t="shared" si="4"/>
        <v>109401329.69000001</v>
      </c>
      <c r="E27" s="409">
        <f t="shared" si="5"/>
        <v>194552.0312987167</v>
      </c>
      <c r="F27" s="409">
        <f t="shared" si="6"/>
        <v>10592029.831460424</v>
      </c>
      <c r="G27" s="500">
        <v>0</v>
      </c>
      <c r="H27" s="501">
        <f t="shared" si="7"/>
        <v>109401329.69000001</v>
      </c>
      <c r="I27" s="502">
        <f t="shared" si="13"/>
        <v>194552.0312987167</v>
      </c>
      <c r="J27" s="503">
        <f t="shared" si="8"/>
        <v>10592029.831460424</v>
      </c>
      <c r="K27" s="696">
        <f t="shared" si="14"/>
        <v>0</v>
      </c>
      <c r="L27" s="560">
        <v>0</v>
      </c>
      <c r="M27" s="560">
        <v>0</v>
      </c>
      <c r="N27" s="275">
        <f t="shared" si="0"/>
        <v>0</v>
      </c>
      <c r="O27" s="275">
        <f t="shared" si="1"/>
        <v>0</v>
      </c>
      <c r="P27" s="278">
        <f t="shared" si="2"/>
        <v>0</v>
      </c>
      <c r="Q27" s="697"/>
      <c r="R27" s="706">
        <f t="shared" si="9"/>
        <v>0</v>
      </c>
      <c r="S27" s="707">
        <f t="shared" si="10"/>
        <v>194552.0312987167</v>
      </c>
      <c r="T27" s="707">
        <f t="shared" si="11"/>
        <v>194552.0312987167</v>
      </c>
      <c r="U27" s="708">
        <f>+'Proj Att-H'!$D$133</f>
        <v>0</v>
      </c>
      <c r="V27" s="709">
        <f t="shared" si="12"/>
        <v>0</v>
      </c>
      <c r="W27" s="710"/>
      <c r="X27" s="698"/>
      <c r="Y27" s="698"/>
      <c r="Z27" s="698"/>
      <c r="AA27" s="697"/>
    </row>
    <row r="28" spans="1:27">
      <c r="A28" s="570">
        <f t="shared" si="3"/>
        <v>14</v>
      </c>
      <c r="B28" s="285" t="s">
        <v>1223</v>
      </c>
      <c r="C28" s="499"/>
      <c r="D28" s="409">
        <f t="shared" si="4"/>
        <v>109401329.69000001</v>
      </c>
      <c r="E28" s="409">
        <f t="shared" si="5"/>
        <v>194552.0312987167</v>
      </c>
      <c r="F28" s="409">
        <f t="shared" si="6"/>
        <v>10786581.862759141</v>
      </c>
      <c r="G28" s="500">
        <v>0</v>
      </c>
      <c r="H28" s="501">
        <f t="shared" si="7"/>
        <v>109401329.69000001</v>
      </c>
      <c r="I28" s="502">
        <f t="shared" si="13"/>
        <v>194552.0312987167</v>
      </c>
      <c r="J28" s="503">
        <f t="shared" si="8"/>
        <v>10786581.862759141</v>
      </c>
      <c r="K28" s="696">
        <f t="shared" si="14"/>
        <v>0</v>
      </c>
      <c r="L28" s="560">
        <v>0</v>
      </c>
      <c r="M28" s="560">
        <v>0</v>
      </c>
      <c r="N28" s="275">
        <f t="shared" si="0"/>
        <v>0</v>
      </c>
      <c r="O28" s="275">
        <f t="shared" si="1"/>
        <v>0</v>
      </c>
      <c r="P28" s="278">
        <f t="shared" si="2"/>
        <v>0</v>
      </c>
      <c r="Q28" s="697"/>
      <c r="R28" s="706">
        <f t="shared" si="9"/>
        <v>0</v>
      </c>
      <c r="S28" s="707">
        <f t="shared" si="10"/>
        <v>194552.0312987167</v>
      </c>
      <c r="T28" s="707">
        <f t="shared" si="11"/>
        <v>194552.0312987167</v>
      </c>
      <c r="U28" s="708">
        <f>+'Proj Att-H'!$D$133</f>
        <v>0</v>
      </c>
      <c r="V28" s="709">
        <f t="shared" si="12"/>
        <v>0</v>
      </c>
      <c r="W28" s="710"/>
      <c r="X28" s="698"/>
      <c r="Y28" s="698"/>
      <c r="Z28" s="698"/>
      <c r="AA28" s="697"/>
    </row>
    <row r="29" spans="1:27">
      <c r="A29" s="570">
        <f t="shared" si="3"/>
        <v>15</v>
      </c>
      <c r="B29" s="285" t="s">
        <v>1223</v>
      </c>
      <c r="C29" s="499"/>
      <c r="D29" s="409">
        <f t="shared" si="4"/>
        <v>109401329.69000001</v>
      </c>
      <c r="E29" s="409">
        <f t="shared" si="5"/>
        <v>194552.0312987167</v>
      </c>
      <c r="F29" s="409">
        <f t="shared" si="6"/>
        <v>10981133.894057859</v>
      </c>
      <c r="G29" s="500">
        <v>0</v>
      </c>
      <c r="H29" s="501">
        <f t="shared" si="7"/>
        <v>109401329.69000001</v>
      </c>
      <c r="I29" s="502">
        <f>I$12*H28</f>
        <v>194552.0312987167</v>
      </c>
      <c r="J29" s="503">
        <f t="shared" si="8"/>
        <v>10981133.894057859</v>
      </c>
      <c r="K29" s="696">
        <f t="shared" si="14"/>
        <v>0</v>
      </c>
      <c r="L29" s="560">
        <v>0</v>
      </c>
      <c r="M29" s="560">
        <v>0</v>
      </c>
      <c r="N29" s="275">
        <f t="shared" si="0"/>
        <v>0</v>
      </c>
      <c r="O29" s="275">
        <f t="shared" si="1"/>
        <v>0</v>
      </c>
      <c r="P29" s="278">
        <f t="shared" si="2"/>
        <v>0</v>
      </c>
      <c r="Q29" s="697"/>
      <c r="R29" s="706">
        <f t="shared" si="9"/>
        <v>0</v>
      </c>
      <c r="S29" s="707">
        <f t="shared" si="10"/>
        <v>194552.0312987167</v>
      </c>
      <c r="T29" s="707">
        <f t="shared" si="11"/>
        <v>194552.0312987167</v>
      </c>
      <c r="U29" s="708">
        <f>+'Proj Att-H'!$D$133</f>
        <v>0</v>
      </c>
      <c r="V29" s="709">
        <f t="shared" si="12"/>
        <v>0</v>
      </c>
      <c r="W29" s="710"/>
      <c r="X29" s="698"/>
      <c r="Y29" s="698"/>
      <c r="Z29" s="698"/>
      <c r="AA29" s="697"/>
    </row>
    <row r="30" spans="1:27">
      <c r="A30" s="570">
        <f>+A29+1</f>
        <v>16</v>
      </c>
      <c r="B30" s="285" t="s">
        <v>1223</v>
      </c>
      <c r="C30" s="499"/>
      <c r="D30" s="409">
        <f t="shared" si="4"/>
        <v>109401329.69000001</v>
      </c>
      <c r="E30" s="409">
        <f t="shared" si="5"/>
        <v>194552.0312987167</v>
      </c>
      <c r="F30" s="409">
        <f t="shared" si="6"/>
        <v>11175685.925356576</v>
      </c>
      <c r="G30" s="500">
        <v>0</v>
      </c>
      <c r="H30" s="501">
        <f t="shared" si="7"/>
        <v>109401329.69000001</v>
      </c>
      <c r="I30" s="502">
        <f t="shared" si="13"/>
        <v>194552.0312987167</v>
      </c>
      <c r="J30" s="503">
        <f t="shared" si="8"/>
        <v>11175685.925356576</v>
      </c>
      <c r="K30" s="696">
        <f t="shared" si="14"/>
        <v>0</v>
      </c>
      <c r="L30" s="560">
        <v>0</v>
      </c>
      <c r="M30" s="560">
        <v>0</v>
      </c>
      <c r="N30" s="698"/>
      <c r="O30" s="275">
        <f t="shared" ref="O30:O41" si="15">K30*L30</f>
        <v>0</v>
      </c>
      <c r="P30" s="698"/>
      <c r="Q30" s="694">
        <f>(Q$14)/12</f>
        <v>0</v>
      </c>
      <c r="R30" s="710"/>
      <c r="S30" s="698"/>
      <c r="T30" s="698"/>
      <c r="U30" s="698"/>
      <c r="V30" s="697"/>
      <c r="W30" s="714">
        <f>(O$42/12)+Q30</f>
        <v>0</v>
      </c>
      <c r="X30" s="707">
        <f>E30</f>
        <v>194552.0312987167</v>
      </c>
      <c r="Y30" s="707">
        <f>X30-W30</f>
        <v>194552.0312987167</v>
      </c>
      <c r="Z30" s="708">
        <f>+'Proj Att-H'!$D$133</f>
        <v>0</v>
      </c>
      <c r="AA30" s="709">
        <f>Z30*Y30</f>
        <v>0</v>
      </c>
    </row>
    <row r="31" spans="1:27">
      <c r="A31" s="570">
        <f t="shared" si="3"/>
        <v>17</v>
      </c>
      <c r="B31" s="285" t="s">
        <v>1223</v>
      </c>
      <c r="C31" s="499"/>
      <c r="D31" s="409">
        <f t="shared" si="4"/>
        <v>109401329.69000001</v>
      </c>
      <c r="E31" s="409">
        <f t="shared" si="5"/>
        <v>194552.0312987167</v>
      </c>
      <c r="F31" s="409">
        <f t="shared" si="6"/>
        <v>11370237.956655294</v>
      </c>
      <c r="G31" s="500">
        <v>0</v>
      </c>
      <c r="H31" s="501">
        <f t="shared" si="7"/>
        <v>109401329.69000001</v>
      </c>
      <c r="I31" s="502">
        <f t="shared" si="13"/>
        <v>194552.0312987167</v>
      </c>
      <c r="J31" s="503">
        <f t="shared" si="8"/>
        <v>11370237.956655294</v>
      </c>
      <c r="K31" s="696">
        <f t="shared" si="14"/>
        <v>0</v>
      </c>
      <c r="L31" s="560">
        <v>0</v>
      </c>
      <c r="M31" s="560">
        <v>0</v>
      </c>
      <c r="N31" s="698"/>
      <c r="O31" s="275">
        <f t="shared" si="15"/>
        <v>0</v>
      </c>
      <c r="P31" s="698"/>
      <c r="Q31" s="694">
        <f t="shared" ref="Q31:Q41" si="16">(Q$14)/12</f>
        <v>0</v>
      </c>
      <c r="R31" s="710"/>
      <c r="S31" s="698"/>
      <c r="T31" s="698"/>
      <c r="U31" s="698"/>
      <c r="V31" s="697"/>
      <c r="W31" s="714">
        <f t="shared" ref="W31:W41" si="17">(O$42/12)+Q31</f>
        <v>0</v>
      </c>
      <c r="X31" s="707">
        <f t="shared" ref="X31:X41" si="18">E31</f>
        <v>194552.0312987167</v>
      </c>
      <c r="Y31" s="707">
        <f t="shared" ref="Y31:Y41" si="19">X31-W31</f>
        <v>194552.0312987167</v>
      </c>
      <c r="Z31" s="708">
        <f>+'Proj Att-H'!$D$133</f>
        <v>0</v>
      </c>
      <c r="AA31" s="709">
        <f t="shared" ref="AA31:AA41" si="20">Z31*Y31</f>
        <v>0</v>
      </c>
    </row>
    <row r="32" spans="1:27">
      <c r="A32" s="570">
        <f t="shared" si="3"/>
        <v>18</v>
      </c>
      <c r="B32" s="285" t="s">
        <v>1223</v>
      </c>
      <c r="C32" s="499"/>
      <c r="D32" s="409">
        <f t="shared" si="4"/>
        <v>109401329.69000001</v>
      </c>
      <c r="E32" s="409">
        <f t="shared" si="5"/>
        <v>194552.0312987167</v>
      </c>
      <c r="F32" s="409">
        <f t="shared" si="6"/>
        <v>11564789.987954011</v>
      </c>
      <c r="G32" s="500">
        <v>0</v>
      </c>
      <c r="H32" s="501">
        <f t="shared" si="7"/>
        <v>109401329.69000001</v>
      </c>
      <c r="I32" s="502">
        <f t="shared" si="13"/>
        <v>194552.0312987167</v>
      </c>
      <c r="J32" s="503">
        <f t="shared" si="8"/>
        <v>11564789.987954011</v>
      </c>
      <c r="K32" s="696">
        <f t="shared" si="14"/>
        <v>0</v>
      </c>
      <c r="L32" s="560">
        <v>0</v>
      </c>
      <c r="M32" s="560">
        <v>0</v>
      </c>
      <c r="N32" s="698"/>
      <c r="O32" s="275">
        <f t="shared" si="15"/>
        <v>0</v>
      </c>
      <c r="P32" s="698"/>
      <c r="Q32" s="694">
        <f t="shared" si="16"/>
        <v>0</v>
      </c>
      <c r="R32" s="710"/>
      <c r="S32" s="698"/>
      <c r="T32" s="698"/>
      <c r="U32" s="698"/>
      <c r="V32" s="697"/>
      <c r="W32" s="714">
        <f t="shared" si="17"/>
        <v>0</v>
      </c>
      <c r="X32" s="707">
        <f t="shared" si="18"/>
        <v>194552.0312987167</v>
      </c>
      <c r="Y32" s="707">
        <f t="shared" si="19"/>
        <v>194552.0312987167</v>
      </c>
      <c r="Z32" s="708">
        <f>+'Proj Att-H'!$D$133</f>
        <v>0</v>
      </c>
      <c r="AA32" s="709">
        <f t="shared" si="20"/>
        <v>0</v>
      </c>
    </row>
    <row r="33" spans="1:27">
      <c r="A33" s="570">
        <f t="shared" si="3"/>
        <v>19</v>
      </c>
      <c r="B33" s="285" t="s">
        <v>1223</v>
      </c>
      <c r="C33" s="499"/>
      <c r="D33" s="409">
        <f t="shared" si="4"/>
        <v>109401329.69000001</v>
      </c>
      <c r="E33" s="409">
        <f t="shared" si="5"/>
        <v>194552.0312987167</v>
      </c>
      <c r="F33" s="409">
        <f t="shared" si="6"/>
        <v>11759342.019252729</v>
      </c>
      <c r="G33" s="500">
        <v>0</v>
      </c>
      <c r="H33" s="501">
        <f t="shared" si="7"/>
        <v>109401329.69000001</v>
      </c>
      <c r="I33" s="502">
        <f t="shared" si="13"/>
        <v>194552.0312987167</v>
      </c>
      <c r="J33" s="503">
        <f t="shared" si="8"/>
        <v>11759342.019252729</v>
      </c>
      <c r="K33" s="696">
        <f t="shared" si="14"/>
        <v>0</v>
      </c>
      <c r="L33" s="560">
        <v>0</v>
      </c>
      <c r="M33" s="560">
        <v>0</v>
      </c>
      <c r="N33" s="698"/>
      <c r="O33" s="275">
        <f t="shared" si="15"/>
        <v>0</v>
      </c>
      <c r="P33" s="698"/>
      <c r="Q33" s="694">
        <f t="shared" si="16"/>
        <v>0</v>
      </c>
      <c r="R33" s="710"/>
      <c r="S33" s="698"/>
      <c r="T33" s="698"/>
      <c r="U33" s="698"/>
      <c r="V33" s="697"/>
      <c r="W33" s="714">
        <f t="shared" si="17"/>
        <v>0</v>
      </c>
      <c r="X33" s="707">
        <f t="shared" si="18"/>
        <v>194552.0312987167</v>
      </c>
      <c r="Y33" s="707">
        <f t="shared" si="19"/>
        <v>194552.0312987167</v>
      </c>
      <c r="Z33" s="708">
        <f>+'Proj Att-H'!$D$133</f>
        <v>0</v>
      </c>
      <c r="AA33" s="709">
        <f t="shared" si="20"/>
        <v>0</v>
      </c>
    </row>
    <row r="34" spans="1:27">
      <c r="A34" s="570">
        <f t="shared" si="3"/>
        <v>20</v>
      </c>
      <c r="B34" s="285" t="s">
        <v>1223</v>
      </c>
      <c r="C34" s="499"/>
      <c r="D34" s="409">
        <f t="shared" si="4"/>
        <v>109401329.69000001</v>
      </c>
      <c r="E34" s="409">
        <f t="shared" si="5"/>
        <v>194552.0312987167</v>
      </c>
      <c r="F34" s="409">
        <f t="shared" si="6"/>
        <v>11953894.050551446</v>
      </c>
      <c r="G34" s="500">
        <v>0</v>
      </c>
      <c r="H34" s="501">
        <f t="shared" si="7"/>
        <v>109401329.69000001</v>
      </c>
      <c r="I34" s="502">
        <f t="shared" si="13"/>
        <v>194552.0312987167</v>
      </c>
      <c r="J34" s="503">
        <f t="shared" si="8"/>
        <v>11953894.050551446</v>
      </c>
      <c r="K34" s="696">
        <f t="shared" si="14"/>
        <v>0</v>
      </c>
      <c r="L34" s="560">
        <v>0</v>
      </c>
      <c r="M34" s="560">
        <v>0</v>
      </c>
      <c r="N34" s="698"/>
      <c r="O34" s="275">
        <f t="shared" si="15"/>
        <v>0</v>
      </c>
      <c r="P34" s="698"/>
      <c r="Q34" s="694">
        <f t="shared" si="16"/>
        <v>0</v>
      </c>
      <c r="R34" s="710"/>
      <c r="S34" s="698"/>
      <c r="T34" s="698"/>
      <c r="U34" s="698"/>
      <c r="V34" s="697"/>
      <c r="W34" s="714">
        <f t="shared" si="17"/>
        <v>0</v>
      </c>
      <c r="X34" s="707">
        <f t="shared" si="18"/>
        <v>194552.0312987167</v>
      </c>
      <c r="Y34" s="707">
        <f t="shared" si="19"/>
        <v>194552.0312987167</v>
      </c>
      <c r="Z34" s="708">
        <f>+'Proj Att-H'!$D$133</f>
        <v>0</v>
      </c>
      <c r="AA34" s="709">
        <f t="shared" si="20"/>
        <v>0</v>
      </c>
    </row>
    <row r="35" spans="1:27">
      <c r="A35" s="570">
        <f t="shared" si="3"/>
        <v>21</v>
      </c>
      <c r="B35" s="285" t="s">
        <v>1223</v>
      </c>
      <c r="C35" s="499"/>
      <c r="D35" s="409">
        <f t="shared" si="4"/>
        <v>109401329.69000001</v>
      </c>
      <c r="E35" s="409">
        <f t="shared" si="5"/>
        <v>194552.0312987167</v>
      </c>
      <c r="F35" s="409">
        <f t="shared" si="6"/>
        <v>12148446.081850164</v>
      </c>
      <c r="G35" s="500">
        <v>0</v>
      </c>
      <c r="H35" s="501">
        <f t="shared" si="7"/>
        <v>109401329.69000001</v>
      </c>
      <c r="I35" s="502">
        <f t="shared" si="13"/>
        <v>194552.0312987167</v>
      </c>
      <c r="J35" s="503">
        <f t="shared" si="8"/>
        <v>12148446.081850164</v>
      </c>
      <c r="K35" s="696">
        <f t="shared" si="14"/>
        <v>0</v>
      </c>
      <c r="L35" s="560">
        <v>0</v>
      </c>
      <c r="M35" s="560">
        <v>0</v>
      </c>
      <c r="N35" s="698"/>
      <c r="O35" s="275">
        <f t="shared" si="15"/>
        <v>0</v>
      </c>
      <c r="P35" s="698"/>
      <c r="Q35" s="694">
        <f t="shared" si="16"/>
        <v>0</v>
      </c>
      <c r="R35" s="710"/>
      <c r="S35" s="698"/>
      <c r="T35" s="698"/>
      <c r="U35" s="698"/>
      <c r="V35" s="697"/>
      <c r="W35" s="714">
        <f t="shared" si="17"/>
        <v>0</v>
      </c>
      <c r="X35" s="707">
        <f t="shared" si="18"/>
        <v>194552.0312987167</v>
      </c>
      <c r="Y35" s="707">
        <f t="shared" si="19"/>
        <v>194552.0312987167</v>
      </c>
      <c r="Z35" s="708">
        <f>+'Proj Att-H'!$D$133</f>
        <v>0</v>
      </c>
      <c r="AA35" s="709">
        <f t="shared" si="20"/>
        <v>0</v>
      </c>
    </row>
    <row r="36" spans="1:27">
      <c r="A36" s="570">
        <f t="shared" si="3"/>
        <v>22</v>
      </c>
      <c r="B36" s="285" t="s">
        <v>1223</v>
      </c>
      <c r="C36" s="499"/>
      <c r="D36" s="409">
        <f t="shared" si="4"/>
        <v>109401329.69000001</v>
      </c>
      <c r="E36" s="409">
        <f t="shared" si="5"/>
        <v>194552.0312987167</v>
      </c>
      <c r="F36" s="409">
        <f t="shared" si="6"/>
        <v>12342998.113148881</v>
      </c>
      <c r="G36" s="500">
        <v>0</v>
      </c>
      <c r="H36" s="501">
        <f t="shared" si="7"/>
        <v>109401329.69000001</v>
      </c>
      <c r="I36" s="502">
        <f t="shared" si="13"/>
        <v>194552.0312987167</v>
      </c>
      <c r="J36" s="503">
        <f t="shared" si="8"/>
        <v>12342998.113148881</v>
      </c>
      <c r="K36" s="696">
        <f t="shared" si="14"/>
        <v>0</v>
      </c>
      <c r="L36" s="560">
        <v>0</v>
      </c>
      <c r="M36" s="560">
        <v>0</v>
      </c>
      <c r="N36" s="698"/>
      <c r="O36" s="275">
        <f t="shared" si="15"/>
        <v>0</v>
      </c>
      <c r="P36" s="698"/>
      <c r="Q36" s="694">
        <f t="shared" si="16"/>
        <v>0</v>
      </c>
      <c r="R36" s="710"/>
      <c r="S36" s="698"/>
      <c r="T36" s="698"/>
      <c r="U36" s="698"/>
      <c r="V36" s="697"/>
      <c r="W36" s="714">
        <f t="shared" si="17"/>
        <v>0</v>
      </c>
      <c r="X36" s="707">
        <f t="shared" si="18"/>
        <v>194552.0312987167</v>
      </c>
      <c r="Y36" s="707">
        <f t="shared" si="19"/>
        <v>194552.0312987167</v>
      </c>
      <c r="Z36" s="708">
        <f>+'Proj Att-H'!$D$133</f>
        <v>0</v>
      </c>
      <c r="AA36" s="709">
        <f t="shared" si="20"/>
        <v>0</v>
      </c>
    </row>
    <row r="37" spans="1:27">
      <c r="A37" s="570">
        <f t="shared" si="3"/>
        <v>23</v>
      </c>
      <c r="B37" s="285" t="s">
        <v>1223</v>
      </c>
      <c r="C37" s="499"/>
      <c r="D37" s="409">
        <f t="shared" si="4"/>
        <v>109401329.69000001</v>
      </c>
      <c r="E37" s="409">
        <f t="shared" si="5"/>
        <v>194552.0312987167</v>
      </c>
      <c r="F37" s="409">
        <f t="shared" si="6"/>
        <v>12537550.144447599</v>
      </c>
      <c r="G37" s="500">
        <v>0</v>
      </c>
      <c r="H37" s="501">
        <f t="shared" si="7"/>
        <v>109401329.69000001</v>
      </c>
      <c r="I37" s="502">
        <f t="shared" si="13"/>
        <v>194552.0312987167</v>
      </c>
      <c r="J37" s="503">
        <f t="shared" si="8"/>
        <v>12537550.144447599</v>
      </c>
      <c r="K37" s="696">
        <f t="shared" si="14"/>
        <v>0</v>
      </c>
      <c r="L37" s="560">
        <v>0</v>
      </c>
      <c r="M37" s="560">
        <v>0</v>
      </c>
      <c r="N37" s="698"/>
      <c r="O37" s="275">
        <f t="shared" si="15"/>
        <v>0</v>
      </c>
      <c r="P37" s="698"/>
      <c r="Q37" s="694">
        <f t="shared" si="16"/>
        <v>0</v>
      </c>
      <c r="R37" s="710"/>
      <c r="S37" s="698"/>
      <c r="T37" s="698"/>
      <c r="U37" s="698"/>
      <c r="V37" s="697"/>
      <c r="W37" s="714">
        <f t="shared" si="17"/>
        <v>0</v>
      </c>
      <c r="X37" s="707">
        <f t="shared" si="18"/>
        <v>194552.0312987167</v>
      </c>
      <c r="Y37" s="707">
        <f t="shared" si="19"/>
        <v>194552.0312987167</v>
      </c>
      <c r="Z37" s="708">
        <f>+'Proj Att-H'!$D$133</f>
        <v>0</v>
      </c>
      <c r="AA37" s="709">
        <f t="shared" si="20"/>
        <v>0</v>
      </c>
    </row>
    <row r="38" spans="1:27">
      <c r="A38" s="570">
        <f t="shared" si="3"/>
        <v>24</v>
      </c>
      <c r="B38" s="285" t="s">
        <v>1223</v>
      </c>
      <c r="C38" s="499"/>
      <c r="D38" s="409">
        <f t="shared" si="4"/>
        <v>109401329.69000001</v>
      </c>
      <c r="E38" s="409">
        <f t="shared" si="5"/>
        <v>194552.0312987167</v>
      </c>
      <c r="F38" s="409">
        <f t="shared" si="6"/>
        <v>12732102.175746316</v>
      </c>
      <c r="G38" s="500">
        <v>0</v>
      </c>
      <c r="H38" s="501">
        <f t="shared" si="7"/>
        <v>109401329.69000001</v>
      </c>
      <c r="I38" s="502">
        <f t="shared" si="13"/>
        <v>194552.0312987167</v>
      </c>
      <c r="J38" s="503">
        <f t="shared" si="8"/>
        <v>12732102.175746316</v>
      </c>
      <c r="K38" s="696">
        <f t="shared" si="14"/>
        <v>0</v>
      </c>
      <c r="L38" s="560">
        <v>0</v>
      </c>
      <c r="M38" s="560">
        <v>0</v>
      </c>
      <c r="N38" s="698"/>
      <c r="O38" s="275">
        <f t="shared" si="15"/>
        <v>0</v>
      </c>
      <c r="P38" s="698"/>
      <c r="Q38" s="694">
        <f t="shared" si="16"/>
        <v>0</v>
      </c>
      <c r="R38" s="710"/>
      <c r="S38" s="698"/>
      <c r="T38" s="698"/>
      <c r="U38" s="698"/>
      <c r="V38" s="697"/>
      <c r="W38" s="714">
        <f t="shared" si="17"/>
        <v>0</v>
      </c>
      <c r="X38" s="707">
        <f t="shared" si="18"/>
        <v>194552.0312987167</v>
      </c>
      <c r="Y38" s="707">
        <f t="shared" si="19"/>
        <v>194552.0312987167</v>
      </c>
      <c r="Z38" s="708">
        <f>+'Proj Att-H'!$D$133</f>
        <v>0</v>
      </c>
      <c r="AA38" s="709">
        <f t="shared" si="20"/>
        <v>0</v>
      </c>
    </row>
    <row r="39" spans="1:27">
      <c r="A39" s="570">
        <f t="shared" si="3"/>
        <v>25</v>
      </c>
      <c r="B39" s="285" t="s">
        <v>1223</v>
      </c>
      <c r="C39" s="499"/>
      <c r="D39" s="409">
        <f t="shared" si="4"/>
        <v>109401329.69000001</v>
      </c>
      <c r="E39" s="409">
        <f t="shared" si="5"/>
        <v>194552.0312987167</v>
      </c>
      <c r="F39" s="409">
        <f t="shared" si="6"/>
        <v>12926654.207045034</v>
      </c>
      <c r="G39" s="500">
        <v>0</v>
      </c>
      <c r="H39" s="501">
        <f t="shared" si="7"/>
        <v>109401329.69000001</v>
      </c>
      <c r="I39" s="502">
        <f t="shared" si="13"/>
        <v>194552.0312987167</v>
      </c>
      <c r="J39" s="503">
        <f t="shared" si="8"/>
        <v>12926654.207045034</v>
      </c>
      <c r="K39" s="696">
        <f t="shared" si="14"/>
        <v>0</v>
      </c>
      <c r="L39" s="560">
        <v>0</v>
      </c>
      <c r="M39" s="560">
        <v>0</v>
      </c>
      <c r="N39" s="698"/>
      <c r="O39" s="275">
        <f t="shared" si="15"/>
        <v>0</v>
      </c>
      <c r="P39" s="698"/>
      <c r="Q39" s="694">
        <f t="shared" si="16"/>
        <v>0</v>
      </c>
      <c r="R39" s="710"/>
      <c r="S39" s="698"/>
      <c r="T39" s="698"/>
      <c r="U39" s="698"/>
      <c r="V39" s="697"/>
      <c r="W39" s="714">
        <f t="shared" si="17"/>
        <v>0</v>
      </c>
      <c r="X39" s="707">
        <f t="shared" si="18"/>
        <v>194552.0312987167</v>
      </c>
      <c r="Y39" s="707">
        <f t="shared" si="19"/>
        <v>194552.0312987167</v>
      </c>
      <c r="Z39" s="708">
        <f>+'Proj Att-H'!$D$133</f>
        <v>0</v>
      </c>
      <c r="AA39" s="709">
        <f t="shared" si="20"/>
        <v>0</v>
      </c>
    </row>
    <row r="40" spans="1:27">
      <c r="A40" s="570">
        <f t="shared" si="3"/>
        <v>26</v>
      </c>
      <c r="B40" s="285" t="s">
        <v>1223</v>
      </c>
      <c r="C40" s="499"/>
      <c r="D40" s="409">
        <f t="shared" si="4"/>
        <v>109401329.69000001</v>
      </c>
      <c r="E40" s="409">
        <f t="shared" si="5"/>
        <v>194552.0312987167</v>
      </c>
      <c r="F40" s="409">
        <f t="shared" si="6"/>
        <v>13121206.238343751</v>
      </c>
      <c r="G40" s="500">
        <v>0</v>
      </c>
      <c r="H40" s="501">
        <f t="shared" si="7"/>
        <v>109401329.69000001</v>
      </c>
      <c r="I40" s="502">
        <f t="shared" si="13"/>
        <v>194552.0312987167</v>
      </c>
      <c r="J40" s="503">
        <f t="shared" si="8"/>
        <v>13121206.238343751</v>
      </c>
      <c r="K40" s="696">
        <f t="shared" si="14"/>
        <v>0</v>
      </c>
      <c r="L40" s="560">
        <v>0</v>
      </c>
      <c r="M40" s="560">
        <v>0</v>
      </c>
      <c r="N40" s="698"/>
      <c r="O40" s="275">
        <f t="shared" si="15"/>
        <v>0</v>
      </c>
      <c r="P40" s="698"/>
      <c r="Q40" s="694">
        <f t="shared" si="16"/>
        <v>0</v>
      </c>
      <c r="R40" s="710"/>
      <c r="S40" s="698"/>
      <c r="T40" s="698"/>
      <c r="U40" s="698"/>
      <c r="V40" s="697"/>
      <c r="W40" s="714">
        <f t="shared" si="17"/>
        <v>0</v>
      </c>
      <c r="X40" s="707">
        <f t="shared" si="18"/>
        <v>194552.0312987167</v>
      </c>
      <c r="Y40" s="707">
        <f t="shared" si="19"/>
        <v>194552.0312987167</v>
      </c>
      <c r="Z40" s="708">
        <f>+'Proj Att-H'!$D$133</f>
        <v>0</v>
      </c>
      <c r="AA40" s="709">
        <f t="shared" si="20"/>
        <v>0</v>
      </c>
    </row>
    <row r="41" spans="1:27">
      <c r="A41" s="570">
        <f t="shared" si="3"/>
        <v>27</v>
      </c>
      <c r="B41" s="285" t="s">
        <v>1223</v>
      </c>
      <c r="C41" s="499"/>
      <c r="D41" s="409">
        <f t="shared" si="4"/>
        <v>109401329.69000001</v>
      </c>
      <c r="E41" s="409">
        <f t="shared" si="5"/>
        <v>194552.0312987167</v>
      </c>
      <c r="F41" s="409">
        <f t="shared" si="6"/>
        <v>13315758.269642469</v>
      </c>
      <c r="G41" s="500">
        <v>0</v>
      </c>
      <c r="H41" s="501">
        <f t="shared" si="7"/>
        <v>109401329.69000001</v>
      </c>
      <c r="I41" s="502">
        <f t="shared" si="13"/>
        <v>194552.0312987167</v>
      </c>
      <c r="J41" s="503">
        <f t="shared" si="8"/>
        <v>13315758.269642469</v>
      </c>
      <c r="K41" s="696">
        <f t="shared" si="14"/>
        <v>0</v>
      </c>
      <c r="L41" s="560">
        <v>0</v>
      </c>
      <c r="M41" s="560">
        <v>0</v>
      </c>
      <c r="N41" s="698"/>
      <c r="O41" s="275">
        <f t="shared" si="15"/>
        <v>0</v>
      </c>
      <c r="P41" s="698"/>
      <c r="Q41" s="694">
        <f t="shared" si="16"/>
        <v>0</v>
      </c>
      <c r="R41" s="710"/>
      <c r="S41" s="698"/>
      <c r="T41" s="698"/>
      <c r="U41" s="698"/>
      <c r="V41" s="697"/>
      <c r="W41" s="714">
        <f t="shared" si="17"/>
        <v>0</v>
      </c>
      <c r="X41" s="707">
        <f t="shared" si="18"/>
        <v>194552.0312987167</v>
      </c>
      <c r="Y41" s="707">
        <f t="shared" si="19"/>
        <v>194552.0312987167</v>
      </c>
      <c r="Z41" s="708">
        <f>+'Proj Att-H'!$D$133</f>
        <v>0</v>
      </c>
      <c r="AA41" s="709">
        <f t="shared" si="20"/>
        <v>0</v>
      </c>
    </row>
    <row r="42" spans="1:27">
      <c r="A42" s="569" t="s">
        <v>894</v>
      </c>
      <c r="B42" s="504"/>
      <c r="C42" s="504"/>
      <c r="G42" s="505"/>
      <c r="H42" s="291"/>
      <c r="I42" s="291"/>
      <c r="J42" s="290"/>
      <c r="K42" s="699"/>
      <c r="L42" s="291"/>
      <c r="M42" s="275"/>
      <c r="N42" s="564">
        <f t="shared" ref="N42:T42" si="21">SUM(N18:N41)</f>
        <v>0</v>
      </c>
      <c r="O42" s="564">
        <f>SUM(O18:O41)</f>
        <v>0</v>
      </c>
      <c r="P42" s="591">
        <f t="shared" si="21"/>
        <v>0</v>
      </c>
      <c r="Q42" s="700">
        <f t="shared" si="21"/>
        <v>0</v>
      </c>
      <c r="R42" s="711">
        <f t="shared" si="21"/>
        <v>0</v>
      </c>
      <c r="S42" s="564">
        <f t="shared" si="21"/>
        <v>2334624.3755846005</v>
      </c>
      <c r="T42" s="564">
        <f t="shared" si="21"/>
        <v>2334624.3755846005</v>
      </c>
      <c r="U42" s="564"/>
      <c r="V42" s="712">
        <f>T42*'Proj Att-H'!D133</f>
        <v>0</v>
      </c>
      <c r="W42" s="711">
        <f>SUM(W18:W41)</f>
        <v>0</v>
      </c>
      <c r="X42" s="564">
        <f>SUM(X18:X41)</f>
        <v>2334624.3755846005</v>
      </c>
      <c r="Y42" s="564">
        <f>SUM(Y18:Y41)</f>
        <v>2334624.3755846005</v>
      </c>
      <c r="Z42" s="564"/>
      <c r="AA42" s="712">
        <f>SUM(AA18:AA41)</f>
        <v>0</v>
      </c>
    </row>
    <row r="43" spans="1:27">
      <c r="A43" s="570">
        <f>A41+1</f>
        <v>28</v>
      </c>
      <c r="B43" s="292" t="s">
        <v>488</v>
      </c>
      <c r="C43" s="292"/>
      <c r="D43" s="409"/>
      <c r="E43" s="506">
        <f>SUM(E30:E41)</f>
        <v>2334624.3755846005</v>
      </c>
      <c r="F43" s="409"/>
      <c r="G43" s="351"/>
      <c r="H43" s="506"/>
      <c r="I43" s="506">
        <f>SUM(I30:I41)</f>
        <v>2334624.3755846005</v>
      </c>
      <c r="J43" s="290"/>
      <c r="K43" s="699"/>
      <c r="L43" s="291"/>
      <c r="M43" s="278"/>
      <c r="N43" s="278"/>
      <c r="O43" s="275"/>
      <c r="P43" s="275"/>
      <c r="Q43" s="694"/>
      <c r="R43" s="351"/>
      <c r="S43" s="275"/>
      <c r="T43" s="275"/>
      <c r="U43" s="275"/>
      <c r="V43" s="283"/>
      <c r="W43" s="351"/>
      <c r="X43" s="275"/>
      <c r="Y43" s="275"/>
      <c r="Z43" s="275"/>
      <c r="AA43" s="283"/>
    </row>
    <row r="44" spans="1:27">
      <c r="A44" s="570">
        <f>+A43+1</f>
        <v>29</v>
      </c>
      <c r="B44" s="292" t="s">
        <v>489</v>
      </c>
      <c r="C44" s="409"/>
      <c r="D44" s="409">
        <f>SUM(D29:D41)/13</f>
        <v>109401329.69000004</v>
      </c>
      <c r="E44" s="291"/>
      <c r="F44" s="409">
        <f>SUM(F29:F41)/13</f>
        <v>12148446.081850164</v>
      </c>
      <c r="G44" s="507"/>
      <c r="H44" s="648">
        <f>SUM(H29:H41)/13</f>
        <v>109401329.69000004</v>
      </c>
      <c r="I44" s="508"/>
      <c r="J44" s="509">
        <f>SUM(J29:J41)/13</f>
        <v>12148446.081850164</v>
      </c>
      <c r="K44" s="701"/>
      <c r="L44" s="702"/>
      <c r="M44" s="703"/>
      <c r="N44" s="703"/>
      <c r="O44" s="704"/>
      <c r="P44" s="704"/>
      <c r="Q44" s="705"/>
      <c r="R44" s="507"/>
      <c r="S44" s="704"/>
      <c r="T44" s="704"/>
      <c r="U44" s="704"/>
      <c r="V44" s="713"/>
      <c r="W44" s="507"/>
      <c r="X44" s="704"/>
      <c r="Y44" s="704"/>
      <c r="Z44" s="704"/>
      <c r="AA44" s="713"/>
    </row>
    <row r="45" spans="1:27">
      <c r="B45" s="292"/>
      <c r="D45" s="293"/>
      <c r="E45" s="293"/>
      <c r="F45" s="293"/>
      <c r="J45" s="294"/>
      <c r="K45" s="294"/>
      <c r="L45" s="294"/>
      <c r="M45" s="275"/>
      <c r="N45" s="275"/>
      <c r="Q45" s="275"/>
    </row>
    <row r="46" spans="1:27" ht="15.75" customHeight="1">
      <c r="A46" s="570"/>
    </row>
    <row r="48" spans="1:27">
      <c r="C48" s="296"/>
      <c r="G48" s="295" t="s">
        <v>205</v>
      </c>
    </row>
    <row r="49" spans="2:12" ht="66" customHeight="1">
      <c r="D49" s="572"/>
      <c r="E49" s="572"/>
      <c r="F49" s="572"/>
      <c r="G49" s="297" t="s">
        <v>79</v>
      </c>
      <c r="H49" s="808" t="s">
        <v>647</v>
      </c>
      <c r="I49" s="808"/>
      <c r="J49" s="808"/>
      <c r="K49" s="551"/>
      <c r="L49" s="551"/>
    </row>
    <row r="50" spans="2:12">
      <c r="B50" s="297"/>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A41" sqref="A41"/>
    </sheetView>
  </sheetViews>
  <sheetFormatPr defaultColWidth="8.7265625" defaultRowHeight="13.2"/>
  <cols>
    <col min="1" max="1" width="5.26953125" style="272" customWidth="1"/>
    <col min="2" max="2" width="34.54296875" style="272" customWidth="1"/>
    <col min="3" max="3" width="29.54296875" style="272" customWidth="1"/>
    <col min="4" max="4" width="13.7265625" style="272" customWidth="1"/>
    <col min="5" max="5" width="14.7265625" style="272" customWidth="1"/>
    <col min="6" max="6" width="16.54296875" style="272" customWidth="1"/>
    <col min="7" max="7" width="3.26953125" style="272" customWidth="1"/>
    <col min="8" max="8" width="13.7265625" style="272" customWidth="1"/>
    <col min="9" max="9" width="11.26953125" style="272" customWidth="1"/>
    <col min="10" max="10" width="3.26953125" style="272" customWidth="1"/>
    <col min="11" max="11" width="14.26953125" style="272" customWidth="1"/>
    <col min="12" max="12" width="13.453125" style="272" customWidth="1"/>
    <col min="13" max="13" width="14.453125" style="272" bestFit="1" customWidth="1"/>
    <col min="14" max="14" width="13.26953125" style="272" customWidth="1"/>
    <col min="15" max="16384" width="8.7265625" style="272"/>
  </cols>
  <sheetData>
    <row r="1" spans="1:13">
      <c r="A1" s="821" t="s">
        <v>538</v>
      </c>
      <c r="B1" s="821"/>
      <c r="C1" s="821"/>
      <c r="D1" s="821"/>
      <c r="E1" s="821"/>
      <c r="F1" s="821"/>
    </row>
    <row r="2" spans="1:13">
      <c r="A2" s="821" t="s">
        <v>559</v>
      </c>
      <c r="B2" s="821"/>
      <c r="C2" s="821"/>
      <c r="D2" s="821"/>
      <c r="E2" s="821"/>
      <c r="F2" s="821"/>
    </row>
    <row r="3" spans="1:13">
      <c r="A3" s="821" t="str">
        <f>'Act Att-H'!C7</f>
        <v>Cheyenne Light, Fuel &amp; Power</v>
      </c>
      <c r="B3" s="821"/>
      <c r="C3" s="821"/>
      <c r="D3" s="821"/>
      <c r="E3" s="821"/>
      <c r="F3" s="821"/>
    </row>
    <row r="4" spans="1:13">
      <c r="A4" s="366"/>
      <c r="B4" s="366"/>
      <c r="C4" s="366"/>
      <c r="D4" s="366"/>
      <c r="E4" s="366"/>
      <c r="F4" s="384" t="s">
        <v>673</v>
      </c>
    </row>
    <row r="5" spans="1:13" s="275" customFormat="1">
      <c r="B5" s="385"/>
      <c r="D5" s="386"/>
      <c r="E5" s="386"/>
      <c r="F5" s="386"/>
    </row>
    <row r="6" spans="1:13">
      <c r="B6" s="387" t="s">
        <v>15</v>
      </c>
      <c r="C6" s="387" t="s">
        <v>16</v>
      </c>
      <c r="D6" s="387" t="s">
        <v>17</v>
      </c>
      <c r="E6" s="388" t="s">
        <v>18</v>
      </c>
      <c r="F6" s="388" t="s">
        <v>19</v>
      </c>
    </row>
    <row r="7" spans="1:13">
      <c r="B7" s="389"/>
      <c r="C7" s="275"/>
      <c r="D7" s="348"/>
      <c r="E7" s="386" t="s">
        <v>495</v>
      </c>
      <c r="F7" s="348"/>
      <c r="G7" s="275"/>
      <c r="H7" s="275"/>
      <c r="I7" s="275"/>
      <c r="J7" s="275"/>
      <c r="K7" s="275"/>
      <c r="L7" s="275"/>
      <c r="M7" s="275"/>
    </row>
    <row r="8" spans="1:13">
      <c r="B8" s="389"/>
      <c r="C8" s="275"/>
      <c r="D8" s="390"/>
      <c r="E8" s="386" t="s">
        <v>496</v>
      </c>
      <c r="F8" s="348"/>
      <c r="G8" s="275"/>
      <c r="H8" s="275"/>
      <c r="I8" s="275"/>
      <c r="J8" s="275"/>
      <c r="K8" s="275"/>
      <c r="L8" s="275"/>
      <c r="M8" s="275"/>
    </row>
    <row r="9" spans="1:13">
      <c r="B9" s="389"/>
      <c r="C9" s="275"/>
      <c r="D9" s="390" t="s">
        <v>497</v>
      </c>
      <c r="E9" s="386" t="s">
        <v>498</v>
      </c>
      <c r="F9" s="386" t="s">
        <v>492</v>
      </c>
      <c r="G9" s="275"/>
      <c r="H9" s="275"/>
      <c r="I9" s="275"/>
      <c r="J9" s="275"/>
      <c r="K9" s="275"/>
      <c r="L9" s="275"/>
      <c r="M9" s="275"/>
    </row>
    <row r="10" spans="1:13" ht="13.8" thickBot="1">
      <c r="A10" s="391" t="s">
        <v>4</v>
      </c>
      <c r="B10" s="391" t="s">
        <v>478</v>
      </c>
      <c r="C10" s="391" t="s">
        <v>578</v>
      </c>
      <c r="D10" s="391" t="s">
        <v>499</v>
      </c>
      <c r="E10" s="392" t="s">
        <v>494</v>
      </c>
      <c r="F10" s="391" t="s">
        <v>499</v>
      </c>
      <c r="G10" s="275"/>
      <c r="H10" s="275"/>
      <c r="I10" s="275"/>
      <c r="J10" s="275"/>
      <c r="K10" s="275"/>
      <c r="L10" s="275"/>
      <c r="M10" s="275"/>
    </row>
    <row r="11" spans="1:13">
      <c r="C11" s="275"/>
      <c r="D11" s="275"/>
      <c r="E11" s="275" t="s">
        <v>500</v>
      </c>
      <c r="F11" s="298" t="s">
        <v>501</v>
      </c>
      <c r="G11" s="275"/>
      <c r="H11" s="275"/>
      <c r="I11" s="275"/>
      <c r="J11" s="275"/>
      <c r="K11" s="275"/>
      <c r="L11" s="275"/>
      <c r="M11" s="275"/>
    </row>
    <row r="12" spans="1:13">
      <c r="A12" s="393">
        <v>1</v>
      </c>
      <c r="B12" s="272" t="s">
        <v>502</v>
      </c>
      <c r="C12" s="278" t="s">
        <v>579</v>
      </c>
      <c r="D12" s="280">
        <f>'Act Att-H'!I66</f>
        <v>77050742.103740126</v>
      </c>
      <c r="E12" s="394"/>
      <c r="F12" s="294"/>
      <c r="G12" s="275"/>
      <c r="H12" s="275"/>
      <c r="I12" s="275"/>
      <c r="J12" s="275"/>
      <c r="K12" s="275"/>
      <c r="L12" s="275"/>
      <c r="M12" s="275"/>
    </row>
    <row r="13" spans="1:13">
      <c r="A13" s="395">
        <v>2</v>
      </c>
      <c r="B13" s="272" t="s">
        <v>503</v>
      </c>
      <c r="C13" s="294" t="s">
        <v>648</v>
      </c>
      <c r="D13" s="294"/>
      <c r="E13" s="294"/>
      <c r="F13" s="280">
        <f>'Proj Att-H'!I61</f>
        <v>93545001.678206533</v>
      </c>
      <c r="G13" s="275"/>
      <c r="H13" s="275"/>
    </row>
    <row r="14" spans="1:13">
      <c r="A14" s="274"/>
      <c r="C14" s="294"/>
      <c r="D14" s="294"/>
      <c r="E14" s="294"/>
      <c r="F14" s="294"/>
      <c r="H14" s="275"/>
    </row>
    <row r="15" spans="1:13">
      <c r="A15" s="274"/>
      <c r="B15" s="389" t="s">
        <v>504</v>
      </c>
      <c r="C15" s="294"/>
      <c r="D15" s="294"/>
      <c r="E15" s="396"/>
      <c r="F15" s="294"/>
      <c r="H15" s="275"/>
    </row>
    <row r="16" spans="1:13">
      <c r="A16" s="395">
        <f>A13+1</f>
        <v>3</v>
      </c>
      <c r="B16" s="294" t="s">
        <v>38</v>
      </c>
      <c r="C16" s="294" t="s">
        <v>580</v>
      </c>
      <c r="D16" s="280">
        <f>'Act Att-H'!D105</f>
        <v>23350387</v>
      </c>
      <c r="E16" s="65">
        <f>IF($D$12=0,0,D16/$D$12)</f>
        <v>0.30305207143315166</v>
      </c>
      <c r="F16" s="63">
        <f>E16*F$13</f>
        <v>28349006.530798137</v>
      </c>
      <c r="G16" s="294"/>
      <c r="H16" s="275"/>
      <c r="I16" s="282"/>
    </row>
    <row r="17" spans="1:9">
      <c r="A17" s="301">
        <f>A16+1</f>
        <v>4</v>
      </c>
      <c r="B17" s="294" t="s">
        <v>144</v>
      </c>
      <c r="C17" s="294" t="s">
        <v>581</v>
      </c>
      <c r="D17" s="280">
        <f>'Act Att-H'!D106</f>
        <v>387094</v>
      </c>
      <c r="E17" s="65">
        <f t="shared" ref="E17:E26" si="0">IF($D$12=0,0,D17/$D$12)</f>
        <v>5.0238841240337652E-3</v>
      </c>
      <c r="F17" s="63">
        <f t="shared" ref="F17:F26" si="1">E17*F$13</f>
        <v>469959.24881385372</v>
      </c>
      <c r="G17" s="294"/>
      <c r="H17" s="275"/>
      <c r="I17" s="397"/>
    </row>
    <row r="18" spans="1:9">
      <c r="A18" s="301">
        <f t="shared" ref="A18:A26" si="2">A17+1</f>
        <v>5</v>
      </c>
      <c r="B18" s="294" t="s">
        <v>39</v>
      </c>
      <c r="C18" s="294" t="s">
        <v>583</v>
      </c>
      <c r="D18" s="280">
        <f>'Act Att-H'!D107</f>
        <v>22397965</v>
      </c>
      <c r="E18" s="65">
        <f t="shared" si="0"/>
        <v>0.2906911002861422</v>
      </c>
      <c r="F18" s="63">
        <f t="shared" si="1"/>
        <v>27192699.464106876</v>
      </c>
      <c r="G18" s="294"/>
      <c r="H18" s="275"/>
      <c r="I18" s="397"/>
    </row>
    <row r="19" spans="1:9">
      <c r="A19" s="301">
        <f t="shared" si="2"/>
        <v>6</v>
      </c>
      <c r="B19" s="294" t="s">
        <v>40</v>
      </c>
      <c r="C19" s="294" t="s">
        <v>582</v>
      </c>
      <c r="D19" s="280">
        <f>'Act Att-H'!D108</f>
        <v>16571858</v>
      </c>
      <c r="E19" s="65">
        <f t="shared" si="0"/>
        <v>0.21507720169246214</v>
      </c>
      <c r="F19" s="63">
        <f t="shared" si="1"/>
        <v>20119397.193265337</v>
      </c>
      <c r="G19" s="294"/>
      <c r="H19" s="275"/>
      <c r="I19" s="397"/>
    </row>
    <row r="20" spans="1:9">
      <c r="A20" s="301">
        <f t="shared" si="2"/>
        <v>7</v>
      </c>
      <c r="B20" s="71" t="s">
        <v>1217</v>
      </c>
      <c r="C20" s="294"/>
      <c r="D20" s="294"/>
      <c r="E20" s="294"/>
      <c r="F20" s="294"/>
      <c r="G20" s="294"/>
      <c r="H20" s="275"/>
      <c r="I20" s="397"/>
    </row>
    <row r="21" spans="1:9">
      <c r="A21" s="301">
        <f t="shared" si="2"/>
        <v>8</v>
      </c>
      <c r="B21" s="294" t="s">
        <v>575</v>
      </c>
      <c r="C21" s="294" t="s">
        <v>584</v>
      </c>
      <c r="D21" s="280">
        <f>'Act Att-H'!D110</f>
        <v>912490.44</v>
      </c>
      <c r="E21" s="65">
        <f t="shared" si="0"/>
        <v>1.1842720979525862E-2</v>
      </c>
      <c r="F21" s="63">
        <f t="shared" si="1"/>
        <v>1107827.3539042785</v>
      </c>
      <c r="H21" s="275"/>
      <c r="I21" s="397"/>
    </row>
    <row r="22" spans="1:9">
      <c r="A22" s="301">
        <f t="shared" si="2"/>
        <v>9</v>
      </c>
      <c r="B22" s="294" t="s">
        <v>576</v>
      </c>
      <c r="C22" s="294" t="s">
        <v>588</v>
      </c>
      <c r="D22" s="280">
        <f>'Act Att-H'!D111</f>
        <v>0</v>
      </c>
      <c r="E22" s="65">
        <f t="shared" si="0"/>
        <v>0</v>
      </c>
      <c r="F22" s="63">
        <f t="shared" si="1"/>
        <v>0</v>
      </c>
      <c r="H22" s="275"/>
      <c r="I22" s="397"/>
    </row>
    <row r="23" spans="1:9">
      <c r="A23" s="301">
        <f t="shared" si="2"/>
        <v>10</v>
      </c>
      <c r="B23" s="294" t="s">
        <v>930</v>
      </c>
      <c r="C23" s="294" t="s">
        <v>589</v>
      </c>
      <c r="D23" s="280">
        <f>'Act Att-H'!D112</f>
        <v>510002.8064</v>
      </c>
      <c r="E23" s="398"/>
      <c r="F23" s="280">
        <f>D23</f>
        <v>510002.8064</v>
      </c>
      <c r="H23" s="275"/>
      <c r="I23" s="397"/>
    </row>
    <row r="24" spans="1:9">
      <c r="A24" s="301">
        <f t="shared" si="2"/>
        <v>11</v>
      </c>
      <c r="B24" s="294" t="s">
        <v>931</v>
      </c>
      <c r="C24" s="294" t="s">
        <v>590</v>
      </c>
      <c r="D24" s="280">
        <f>'Act Att-H'!D113</f>
        <v>452052.88319999998</v>
      </c>
      <c r="E24" s="65">
        <f t="shared" si="0"/>
        <v>5.8669504129027312E-3</v>
      </c>
      <c r="F24" s="63">
        <f t="shared" si="1"/>
        <v>548823.88622094051</v>
      </c>
      <c r="H24" s="275"/>
      <c r="I24" s="397"/>
    </row>
    <row r="25" spans="1:9">
      <c r="A25" s="301">
        <f t="shared" si="2"/>
        <v>12</v>
      </c>
      <c r="B25" s="294" t="s">
        <v>32</v>
      </c>
      <c r="C25" s="294" t="s">
        <v>585</v>
      </c>
      <c r="D25" s="280">
        <f>'Act Att-H'!D114</f>
        <v>0</v>
      </c>
      <c r="E25" s="65">
        <f t="shared" si="0"/>
        <v>0</v>
      </c>
      <c r="F25" s="63">
        <f t="shared" si="1"/>
        <v>0</v>
      </c>
      <c r="G25" s="294"/>
      <c r="H25" s="275"/>
      <c r="I25" s="399"/>
    </row>
    <row r="26" spans="1:9" ht="13.8" thickBot="1">
      <c r="A26" s="301">
        <f t="shared" si="2"/>
        <v>13</v>
      </c>
      <c r="B26" s="294" t="s">
        <v>41</v>
      </c>
      <c r="C26" s="294" t="s">
        <v>586</v>
      </c>
      <c r="D26" s="280">
        <f>'Act Att-H'!D115</f>
        <v>0</v>
      </c>
      <c r="E26" s="65">
        <f t="shared" si="0"/>
        <v>0</v>
      </c>
      <c r="F26" s="63">
        <f t="shared" si="1"/>
        <v>0</v>
      </c>
      <c r="G26" s="294"/>
      <c r="H26" s="275"/>
      <c r="I26" s="282"/>
    </row>
    <row r="27" spans="1:9">
      <c r="A27" s="301">
        <f>A26+1</f>
        <v>14</v>
      </c>
      <c r="B27" s="400" t="s">
        <v>577</v>
      </c>
      <c r="C27" s="400" t="s">
        <v>1220</v>
      </c>
      <c r="D27" s="72">
        <f>+D16-D17-D18+D19-D21+D25+D26+D22+D23-D24</f>
        <v>16282645.483200001</v>
      </c>
      <c r="E27" s="72"/>
      <c r="F27" s="72">
        <f>+F16-F17-F18+F19-F21+F25+F26+F22+F23-F24</f>
        <v>19659096.57741753</v>
      </c>
      <c r="H27" s="275"/>
    </row>
    <row r="28" spans="1:9">
      <c r="A28" s="274"/>
      <c r="C28" s="294"/>
      <c r="D28" s="294"/>
      <c r="E28" s="294"/>
      <c r="F28" s="294"/>
      <c r="H28" s="275"/>
    </row>
    <row r="29" spans="1:9">
      <c r="A29" s="274"/>
      <c r="C29" s="294"/>
      <c r="D29" s="294"/>
      <c r="E29" s="294"/>
      <c r="F29" s="294"/>
      <c r="H29" s="275"/>
    </row>
    <row r="30" spans="1:9">
      <c r="A30" s="274"/>
      <c r="B30" s="389" t="s">
        <v>505</v>
      </c>
      <c r="C30" s="294"/>
      <c r="D30" s="294"/>
      <c r="E30" s="294"/>
      <c r="F30" s="294"/>
      <c r="H30" s="275"/>
    </row>
    <row r="31" spans="1:9">
      <c r="A31" s="274"/>
      <c r="B31" s="274" t="s">
        <v>42</v>
      </c>
      <c r="C31" s="296"/>
      <c r="D31" s="294"/>
      <c r="E31" s="294"/>
      <c r="F31" s="294"/>
      <c r="H31" s="275"/>
    </row>
    <row r="32" spans="1:9">
      <c r="A32" s="395">
        <f>A27+1</f>
        <v>15</v>
      </c>
      <c r="B32" s="274" t="s">
        <v>43</v>
      </c>
      <c r="C32" s="294" t="s">
        <v>591</v>
      </c>
      <c r="D32" s="280">
        <f>'Act Att-H'!D127</f>
        <v>875001</v>
      </c>
      <c r="E32" s="65">
        <f t="shared" ref="E32:E38" si="3">IF($D$12=0,0,D32/$D$12)</f>
        <v>1.1356165769589992E-2</v>
      </c>
      <c r="F32" s="63">
        <f t="shared" ref="F32:F38" si="4">E32*F$13</f>
        <v>1062312.5459742874</v>
      </c>
      <c r="H32" s="275"/>
    </row>
    <row r="33" spans="1:9">
      <c r="A33" s="395">
        <f>A32+1</f>
        <v>16</v>
      </c>
      <c r="B33" s="274" t="s">
        <v>44</v>
      </c>
      <c r="C33" s="294" t="s">
        <v>592</v>
      </c>
      <c r="D33" s="280">
        <f>'Act Att-H'!D128</f>
        <v>0</v>
      </c>
      <c r="E33" s="65">
        <f t="shared" si="3"/>
        <v>0</v>
      </c>
      <c r="F33" s="63">
        <f t="shared" si="4"/>
        <v>0</v>
      </c>
      <c r="H33" s="275"/>
    </row>
    <row r="34" spans="1:9">
      <c r="A34" s="395">
        <f t="shared" ref="A34:A39" si="5">A33+1</f>
        <v>17</v>
      </c>
      <c r="B34" s="274" t="s">
        <v>45</v>
      </c>
      <c r="C34" s="294"/>
      <c r="D34" s="403"/>
      <c r="E34" s="65"/>
      <c r="F34" s="63"/>
      <c r="H34" s="275"/>
    </row>
    <row r="35" spans="1:9">
      <c r="A35" s="395">
        <f t="shared" si="5"/>
        <v>18</v>
      </c>
      <c r="B35" s="746" t="s">
        <v>46</v>
      </c>
      <c r="C35" s="294" t="s">
        <v>593</v>
      </c>
      <c r="D35" s="280">
        <f>'Act Att-H'!D130</f>
        <v>2884298.3599999994</v>
      </c>
      <c r="E35" s="65">
        <f t="shared" si="3"/>
        <v>3.7433751852988223E-2</v>
      </c>
      <c r="F35" s="63">
        <f t="shared" si="4"/>
        <v>3501740.3799093501</v>
      </c>
      <c r="H35" s="275"/>
    </row>
    <row r="36" spans="1:9">
      <c r="A36" s="395">
        <f t="shared" si="5"/>
        <v>19</v>
      </c>
      <c r="B36" s="274" t="s">
        <v>47</v>
      </c>
      <c r="C36" s="294" t="s">
        <v>594</v>
      </c>
      <c r="D36" s="280">
        <f>'Act Att-H'!D131</f>
        <v>1950348.4399999997</v>
      </c>
      <c r="E36" s="65">
        <f t="shared" si="3"/>
        <v>2.5312519863521569E-2</v>
      </c>
      <c r="F36" s="63">
        <f t="shared" si="4"/>
        <v>2367859.7131127613</v>
      </c>
      <c r="H36" s="275"/>
    </row>
    <row r="37" spans="1:9">
      <c r="A37" s="395">
        <f t="shared" si="5"/>
        <v>20</v>
      </c>
      <c r="B37" s="274" t="s">
        <v>48</v>
      </c>
      <c r="C37" s="294" t="s">
        <v>595</v>
      </c>
      <c r="D37" s="280">
        <f>'Act Att-H'!D132</f>
        <v>0</v>
      </c>
      <c r="E37" s="65">
        <f t="shared" si="3"/>
        <v>0</v>
      </c>
      <c r="F37" s="63">
        <f t="shared" si="4"/>
        <v>0</v>
      </c>
      <c r="H37" s="275"/>
    </row>
    <row r="38" spans="1:9">
      <c r="A38" s="395">
        <f t="shared" si="5"/>
        <v>21</v>
      </c>
      <c r="B38" s="274" t="s">
        <v>574</v>
      </c>
      <c r="C38" s="294" t="s">
        <v>596</v>
      </c>
      <c r="D38" s="280">
        <f>'Act Att-H'!D133</f>
        <v>0</v>
      </c>
      <c r="E38" s="65">
        <f t="shared" si="3"/>
        <v>0</v>
      </c>
      <c r="F38" s="63">
        <f t="shared" si="4"/>
        <v>0</v>
      </c>
      <c r="H38" s="275"/>
    </row>
    <row r="39" spans="1:9">
      <c r="A39" s="395">
        <f t="shared" si="5"/>
        <v>22</v>
      </c>
      <c r="B39" s="404" t="s">
        <v>506</v>
      </c>
      <c r="C39" s="405" t="s">
        <v>597</v>
      </c>
      <c r="D39" s="406">
        <f>'Act Att-H'!D134</f>
        <v>5709647.7999999989</v>
      </c>
      <c r="E39" s="402"/>
      <c r="F39" s="401">
        <f>SUM(F32:F38)</f>
        <v>6931912.638996399</v>
      </c>
      <c r="H39" s="275"/>
    </row>
    <row r="40" spans="1:9">
      <c r="A40" s="274"/>
      <c r="D40" s="407"/>
      <c r="E40" s="294"/>
      <c r="F40" s="407"/>
      <c r="H40" s="275"/>
    </row>
    <row r="41" spans="1:9">
      <c r="C41" s="408"/>
      <c r="D41" s="408"/>
      <c r="E41" s="408"/>
      <c r="F41" s="408"/>
      <c r="I41" s="409"/>
    </row>
    <row r="42" spans="1:9">
      <c r="C42" s="408"/>
      <c r="D42" s="408"/>
      <c r="E42" s="408"/>
      <c r="F42" s="408"/>
      <c r="I42" s="409"/>
    </row>
    <row r="43" spans="1:9">
      <c r="C43" s="408"/>
      <c r="D43" s="408"/>
      <c r="E43" s="408"/>
      <c r="F43" s="408"/>
      <c r="I43" s="409"/>
    </row>
    <row r="44" spans="1:9">
      <c r="C44" s="408"/>
      <c r="D44" s="408"/>
      <c r="E44" s="408"/>
      <c r="F44" s="408"/>
      <c r="I44" s="409"/>
    </row>
    <row r="45" spans="1:9">
      <c r="C45" s="408"/>
      <c r="D45" s="408"/>
      <c r="E45" s="408"/>
      <c r="F45" s="408"/>
      <c r="I45" s="409"/>
    </row>
    <row r="46" spans="1:9">
      <c r="C46" s="408"/>
      <c r="D46" s="408"/>
      <c r="E46" s="408"/>
      <c r="F46" s="408"/>
      <c r="I46" s="409"/>
    </row>
    <row r="47" spans="1:9">
      <c r="C47" s="408"/>
      <c r="D47" s="408"/>
      <c r="E47" s="408"/>
      <c r="F47" s="408"/>
      <c r="I47" s="409"/>
    </row>
    <row r="48" spans="1:9">
      <c r="C48" s="408"/>
      <c r="D48" s="408"/>
      <c r="E48" s="408"/>
      <c r="F48" s="408"/>
      <c r="I48" s="409"/>
    </row>
    <row r="49" spans="1:8">
      <c r="A49" s="276"/>
      <c r="B49" s="410"/>
      <c r="C49" s="278"/>
      <c r="D49" s="411"/>
      <c r="E49" s="412"/>
      <c r="F49" s="413"/>
      <c r="G49" s="278"/>
      <c r="H49" s="414"/>
    </row>
    <row r="50" spans="1:8">
      <c r="A50" s="276"/>
      <c r="B50" s="278"/>
      <c r="C50" s="278"/>
      <c r="D50" s="278"/>
      <c r="E50" s="278"/>
      <c r="F50" s="278"/>
      <c r="G50" s="278"/>
      <c r="H50" s="278"/>
    </row>
    <row r="51" spans="1:8">
      <c r="A51" s="276"/>
      <c r="B51" s="410"/>
      <c r="C51" s="278"/>
      <c r="D51" s="399"/>
      <c r="E51" s="412"/>
      <c r="F51" s="413"/>
      <c r="G51" s="278"/>
      <c r="H51" s="414"/>
    </row>
    <row r="52" spans="1:8">
      <c r="A52" s="276"/>
      <c r="B52" s="410"/>
      <c r="C52" s="278"/>
      <c r="D52" s="399"/>
      <c r="E52" s="278"/>
      <c r="F52" s="415"/>
      <c r="G52" s="278"/>
      <c r="H52" s="414"/>
    </row>
    <row r="53" spans="1:8">
      <c r="A53" s="275"/>
      <c r="B53" s="410"/>
      <c r="C53" s="278"/>
      <c r="D53" s="399"/>
      <c r="E53" s="278"/>
      <c r="F53" s="415"/>
      <c r="G53" s="278"/>
      <c r="H53" s="414"/>
    </row>
    <row r="54" spans="1:8">
      <c r="B54" s="410"/>
      <c r="C54" s="278"/>
      <c r="D54" s="399"/>
      <c r="E54" s="278"/>
      <c r="F54" s="415"/>
      <c r="G54" s="278"/>
      <c r="H54" s="414"/>
    </row>
    <row r="55" spans="1:8">
      <c r="B55" s="410"/>
      <c r="C55" s="278"/>
      <c r="D55" s="399"/>
      <c r="E55" s="278"/>
      <c r="F55" s="415"/>
      <c r="G55" s="278"/>
      <c r="H55" s="414"/>
    </row>
    <row r="56" spans="1:8">
      <c r="B56" s="410"/>
      <c r="C56" s="278"/>
      <c r="D56" s="414"/>
      <c r="E56" s="278"/>
      <c r="F56" s="415"/>
      <c r="G56" s="278"/>
      <c r="H56" s="414"/>
    </row>
    <row r="57" spans="1:8">
      <c r="B57" s="410"/>
      <c r="C57" s="278"/>
      <c r="D57" s="399"/>
      <c r="E57" s="278"/>
      <c r="F57" s="415"/>
      <c r="G57" s="278"/>
      <c r="H57" s="414"/>
    </row>
    <row r="58" spans="1:8">
      <c r="B58" s="410"/>
      <c r="C58" s="278"/>
      <c r="D58" s="399"/>
      <c r="E58" s="278"/>
      <c r="F58" s="415"/>
      <c r="G58" s="278"/>
      <c r="H58" s="414"/>
    </row>
    <row r="59" spans="1:8">
      <c r="B59" s="410"/>
      <c r="C59" s="278"/>
      <c r="D59" s="399"/>
      <c r="E59" s="278"/>
      <c r="F59" s="415"/>
      <c r="G59" s="278"/>
      <c r="H59" s="414"/>
    </row>
    <row r="60" spans="1:8">
      <c r="B60" s="410"/>
      <c r="C60" s="278"/>
      <c r="D60" s="399"/>
      <c r="E60" s="278"/>
      <c r="F60" s="415"/>
      <c r="G60" s="278"/>
      <c r="H60" s="414"/>
    </row>
    <row r="61" spans="1:8">
      <c r="B61" s="410"/>
      <c r="C61" s="278"/>
      <c r="D61" s="414"/>
      <c r="E61" s="278"/>
      <c r="F61" s="415"/>
      <c r="G61" s="278"/>
      <c r="H61" s="414"/>
    </row>
    <row r="62" spans="1:8">
      <c r="B62" s="410"/>
      <c r="C62" s="278"/>
      <c r="D62" s="416"/>
      <c r="E62" s="278"/>
      <c r="F62" s="415"/>
      <c r="G62" s="278"/>
      <c r="H62" s="414"/>
    </row>
    <row r="63" spans="1:8">
      <c r="B63" s="417"/>
      <c r="C63" s="278"/>
      <c r="D63" s="399"/>
      <c r="E63" s="278"/>
      <c r="F63" s="415"/>
      <c r="G63" s="278"/>
      <c r="H63" s="414"/>
    </row>
    <row r="64" spans="1:8">
      <c r="B64" s="417"/>
      <c r="C64" s="278"/>
      <c r="D64" s="416"/>
      <c r="E64" s="278"/>
      <c r="F64" s="415"/>
      <c r="G64" s="278"/>
      <c r="H64" s="414"/>
    </row>
    <row r="65" spans="2:8">
      <c r="B65" s="417"/>
      <c r="C65" s="278"/>
      <c r="D65" s="416"/>
      <c r="E65" s="278"/>
      <c r="F65" s="415"/>
      <c r="G65" s="278"/>
      <c r="H65" s="414"/>
    </row>
    <row r="66" spans="2:8">
      <c r="B66" s="417"/>
      <c r="C66" s="278"/>
      <c r="D66" s="399"/>
      <c r="E66" s="278"/>
      <c r="F66" s="415"/>
      <c r="G66" s="278"/>
      <c r="H66" s="414"/>
    </row>
    <row r="67" spans="2:8">
      <c r="B67" s="410"/>
      <c r="C67" s="278"/>
      <c r="D67" s="278"/>
      <c r="E67" s="278"/>
      <c r="F67" s="415"/>
      <c r="G67" s="278"/>
      <c r="H67" s="414"/>
    </row>
    <row r="68" spans="2:8">
      <c r="B68" s="410"/>
      <c r="C68" s="278"/>
      <c r="D68" s="278"/>
      <c r="E68" s="278"/>
      <c r="F68" s="278"/>
      <c r="G68" s="278"/>
      <c r="H68" s="414"/>
    </row>
    <row r="69" spans="2:8">
      <c r="B69" s="410"/>
      <c r="C69" s="278"/>
      <c r="D69" s="278"/>
      <c r="E69" s="278"/>
      <c r="F69" s="278"/>
      <c r="G69" s="278"/>
      <c r="H69" s="414"/>
    </row>
    <row r="70" spans="2:8">
      <c r="B70" s="410"/>
      <c r="C70" s="278"/>
      <c r="D70" s="278"/>
      <c r="E70" s="278"/>
      <c r="F70" s="278"/>
      <c r="G70" s="278"/>
      <c r="H70" s="414"/>
    </row>
    <row r="71" spans="2:8">
      <c r="B71" s="410"/>
      <c r="C71" s="278"/>
      <c r="D71" s="278"/>
      <c r="E71" s="278"/>
      <c r="F71" s="278"/>
      <c r="G71" s="278"/>
      <c r="H71" s="414"/>
    </row>
    <row r="72" spans="2:8">
      <c r="B72" s="417"/>
      <c r="C72" s="278"/>
      <c r="D72" s="414"/>
      <c r="E72" s="278"/>
      <c r="F72" s="415"/>
      <c r="G72" s="278"/>
      <c r="H72" s="414"/>
    </row>
    <row r="73" spans="2:8">
      <c r="B73" s="417"/>
      <c r="C73" s="278"/>
      <c r="D73" s="414"/>
      <c r="E73" s="278"/>
      <c r="F73" s="278"/>
      <c r="G73" s="278"/>
      <c r="H73" s="41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1" sqref="A31"/>
    </sheetView>
  </sheetViews>
  <sheetFormatPr defaultColWidth="8.7265625" defaultRowHeight="13.2"/>
  <cols>
    <col min="1" max="1" width="5.26953125" style="272" customWidth="1"/>
    <col min="2" max="2" width="15.08984375" style="272" customWidth="1"/>
    <col min="3" max="3" width="19.08984375" style="272" bestFit="1" customWidth="1"/>
    <col min="4" max="4" width="17.08984375" style="272" customWidth="1"/>
    <col min="5" max="5" width="17.453125" style="272" customWidth="1"/>
    <col min="6" max="6" width="13.7265625" style="272" customWidth="1"/>
    <col min="7" max="7" width="12.54296875" style="272" customWidth="1"/>
    <col min="8" max="8" width="7" style="272" customWidth="1"/>
    <col min="9" max="9" width="7.7265625" style="272" bestFit="1" customWidth="1"/>
    <col min="10" max="10" width="2.26953125" style="272" customWidth="1"/>
    <col min="11" max="11" width="6.7265625" style="272" customWidth="1"/>
    <col min="12" max="16384" width="8.7265625" style="272"/>
  </cols>
  <sheetData>
    <row r="1" spans="1:14">
      <c r="A1" s="821" t="s">
        <v>560</v>
      </c>
      <c r="B1" s="821"/>
      <c r="C1" s="821"/>
      <c r="D1" s="821"/>
      <c r="E1" s="821"/>
      <c r="F1" s="821"/>
      <c r="G1" s="821"/>
    </row>
    <row r="2" spans="1:14">
      <c r="A2" s="821" t="s">
        <v>711</v>
      </c>
      <c r="B2" s="821"/>
      <c r="C2" s="821"/>
      <c r="D2" s="821"/>
      <c r="E2" s="821"/>
      <c r="F2" s="821"/>
      <c r="G2" s="821"/>
    </row>
    <row r="3" spans="1:14">
      <c r="A3" s="821" t="str">
        <f>'P1-Trans Plant'!B3</f>
        <v>Cheyenne Light, Fuel &amp; Power</v>
      </c>
      <c r="B3" s="821"/>
      <c r="C3" s="821"/>
      <c r="D3" s="821"/>
      <c r="E3" s="821"/>
      <c r="F3" s="821"/>
      <c r="G3" s="821"/>
    </row>
    <row r="4" spans="1:14">
      <c r="A4" s="294"/>
      <c r="B4" s="294"/>
      <c r="C4" s="294"/>
      <c r="D4" s="294"/>
      <c r="E4" s="294"/>
      <c r="F4" s="294"/>
      <c r="G4" s="384" t="s">
        <v>673</v>
      </c>
    </row>
    <row r="5" spans="1:14">
      <c r="A5" s="299" t="s">
        <v>507</v>
      </c>
      <c r="B5" s="294"/>
      <c r="C5" s="294"/>
      <c r="D5" s="294"/>
      <c r="E5" s="294"/>
      <c r="F5" s="294"/>
      <c r="G5" s="294"/>
    </row>
    <row r="6" spans="1:14">
      <c r="A6" s="300"/>
      <c r="B6" s="294"/>
      <c r="C6" s="294"/>
      <c r="D6" s="294"/>
      <c r="E6" s="294"/>
      <c r="F6" s="294"/>
      <c r="G6" s="294"/>
    </row>
    <row r="7" spans="1:14" ht="15" customHeight="1">
      <c r="A7" s="301">
        <v>1</v>
      </c>
      <c r="B7" s="294" t="s">
        <v>508</v>
      </c>
      <c r="C7" s="294"/>
      <c r="D7" s="294"/>
      <c r="E7" s="294"/>
      <c r="F7" s="294"/>
      <c r="G7" s="294"/>
      <c r="I7" s="510"/>
      <c r="J7" s="294"/>
      <c r="K7" s="510"/>
      <c r="L7" s="294"/>
      <c r="M7" s="511"/>
      <c r="N7" s="294"/>
    </row>
    <row r="8" spans="1:14">
      <c r="A8" s="294"/>
      <c r="B8" s="294"/>
      <c r="C8" s="294"/>
      <c r="D8" s="294"/>
      <c r="E8" s="294"/>
      <c r="F8" s="294"/>
      <c r="G8" s="294"/>
    </row>
    <row r="9" spans="1:14">
      <c r="A9" s="294"/>
      <c r="B9" s="512" t="s">
        <v>509</v>
      </c>
      <c r="C9" s="513" t="s">
        <v>510</v>
      </c>
      <c r="D9" s="512" t="s">
        <v>511</v>
      </c>
      <c r="E9" s="512" t="s">
        <v>512</v>
      </c>
      <c r="F9" s="512" t="s">
        <v>513</v>
      </c>
      <c r="G9" s="512" t="s">
        <v>514</v>
      </c>
    </row>
    <row r="10" spans="1:14" ht="92.25" customHeight="1">
      <c r="A10" s="294"/>
      <c r="B10" s="302" t="s">
        <v>268</v>
      </c>
      <c r="C10" s="302" t="s">
        <v>567</v>
      </c>
      <c r="D10" s="303" t="s">
        <v>565</v>
      </c>
      <c r="E10" s="303" t="s">
        <v>564</v>
      </c>
      <c r="F10" s="302" t="s">
        <v>566</v>
      </c>
      <c r="G10" s="302" t="s">
        <v>515</v>
      </c>
    </row>
    <row r="11" spans="1:14">
      <c r="A11" s="301">
        <v>2</v>
      </c>
      <c r="B11" s="514" t="s">
        <v>165</v>
      </c>
      <c r="C11" s="515"/>
      <c r="D11" s="515"/>
      <c r="E11" s="516"/>
      <c r="F11" s="517"/>
      <c r="G11" s="518">
        <f t="shared" ref="G11:G18" si="0">F11</f>
        <v>0</v>
      </c>
      <c r="I11" s="519"/>
    </row>
    <row r="12" spans="1:14">
      <c r="A12" s="301">
        <v>3</v>
      </c>
      <c r="B12" s="514" t="s">
        <v>166</v>
      </c>
      <c r="C12" s="520"/>
      <c r="D12" s="520"/>
      <c r="E12" s="521"/>
      <c r="F12" s="517"/>
      <c r="G12" s="518">
        <f t="shared" si="0"/>
        <v>0</v>
      </c>
    </row>
    <row r="13" spans="1:14">
      <c r="A13" s="301">
        <v>4</v>
      </c>
      <c r="B13" s="514" t="s">
        <v>516</v>
      </c>
      <c r="C13" s="520"/>
      <c r="D13" s="520"/>
      <c r="E13" s="521"/>
      <c r="F13" s="517"/>
      <c r="G13" s="518">
        <f t="shared" si="0"/>
        <v>0</v>
      </c>
    </row>
    <row r="14" spans="1:14">
      <c r="A14" s="301">
        <v>5</v>
      </c>
      <c r="B14" s="514" t="s">
        <v>167</v>
      </c>
      <c r="C14" s="520"/>
      <c r="D14" s="520"/>
      <c r="E14" s="521"/>
      <c r="F14" s="517"/>
      <c r="G14" s="518">
        <f t="shared" si="0"/>
        <v>0</v>
      </c>
    </row>
    <row r="15" spans="1:14">
      <c r="A15" s="301">
        <v>6</v>
      </c>
      <c r="B15" s="514" t="s">
        <v>168</v>
      </c>
      <c r="C15" s="520"/>
      <c r="D15" s="520"/>
      <c r="E15" s="521"/>
      <c r="F15" s="517"/>
      <c r="G15" s="518">
        <f t="shared" si="0"/>
        <v>0</v>
      </c>
    </row>
    <row r="16" spans="1:14">
      <c r="A16" s="301">
        <v>7</v>
      </c>
      <c r="B16" s="514" t="s">
        <v>169</v>
      </c>
      <c r="C16" s="520"/>
      <c r="D16" s="520"/>
      <c r="E16" s="521"/>
      <c r="F16" s="517"/>
      <c r="G16" s="518">
        <f t="shared" si="0"/>
        <v>0</v>
      </c>
    </row>
    <row r="17" spans="1:15">
      <c r="A17" s="301">
        <v>8</v>
      </c>
      <c r="B17" s="514" t="s">
        <v>170</v>
      </c>
      <c r="C17" s="520"/>
      <c r="D17" s="520"/>
      <c r="E17" s="521"/>
      <c r="F17" s="517"/>
      <c r="G17" s="518">
        <f t="shared" si="0"/>
        <v>0</v>
      </c>
    </row>
    <row r="18" spans="1:15">
      <c r="A18" s="301">
        <v>9</v>
      </c>
      <c r="B18" s="514" t="s">
        <v>517</v>
      </c>
      <c r="C18" s="522"/>
      <c r="D18" s="522"/>
      <c r="E18" s="523"/>
      <c r="F18" s="517"/>
      <c r="G18" s="518">
        <f t="shared" si="0"/>
        <v>0</v>
      </c>
      <c r="I18" s="524"/>
    </row>
    <row r="19" spans="1:15">
      <c r="A19" s="301">
        <v>10</v>
      </c>
      <c r="B19" s="525" t="s">
        <v>171</v>
      </c>
      <c r="C19" s="526">
        <f>'A6-Divisor'!G16</f>
        <v>1.1021555763823805</v>
      </c>
      <c r="D19" s="527" t="e">
        <f>AVERAGE($F$11:$F$18)</f>
        <v>#DIV/0!</v>
      </c>
      <c r="E19" s="528" t="e">
        <f>C19*D19</f>
        <v>#DIV/0!</v>
      </c>
      <c r="F19" s="516"/>
      <c r="G19" s="529" t="e">
        <f>E19</f>
        <v>#DIV/0!</v>
      </c>
    </row>
    <row r="20" spans="1:15">
      <c r="A20" s="301">
        <v>11</v>
      </c>
      <c r="B20" s="525" t="s">
        <v>172</v>
      </c>
      <c r="C20" s="526">
        <f>'A6-Divisor'!G17</f>
        <v>0.90346766635426434</v>
      </c>
      <c r="D20" s="527" t="e">
        <f>AVERAGE($F$11:$F$18)</f>
        <v>#DIV/0!</v>
      </c>
      <c r="E20" s="528" t="e">
        <f>C20*D20</f>
        <v>#DIV/0!</v>
      </c>
      <c r="F20" s="521"/>
      <c r="G20" s="529" t="e">
        <f>E20</f>
        <v>#DIV/0!</v>
      </c>
    </row>
    <row r="21" spans="1:15">
      <c r="A21" s="301">
        <v>12</v>
      </c>
      <c r="B21" s="525" t="s">
        <v>173</v>
      </c>
      <c r="C21" s="526">
        <f>'A6-Divisor'!G18</f>
        <v>0.98594189315838798</v>
      </c>
      <c r="D21" s="527" t="e">
        <f>AVERAGE($F$11:$F$18)</f>
        <v>#DIV/0!</v>
      </c>
      <c r="E21" s="528" t="e">
        <f>C21*D21</f>
        <v>#DIV/0!</v>
      </c>
      <c r="F21" s="521"/>
      <c r="G21" s="529" t="e">
        <f>E21</f>
        <v>#DIV/0!</v>
      </c>
    </row>
    <row r="22" spans="1:15">
      <c r="A22" s="301">
        <v>13</v>
      </c>
      <c r="B22" s="525" t="s">
        <v>518</v>
      </c>
      <c r="C22" s="526">
        <f>'A6-Divisor'!G19</f>
        <v>1.0534208059981256</v>
      </c>
      <c r="D22" s="527" t="e">
        <f>AVERAGE($F$11:$F$18)</f>
        <v>#DIV/0!</v>
      </c>
      <c r="E22" s="528" t="e">
        <f>C22*D22</f>
        <v>#DIV/0!</v>
      </c>
      <c r="F22" s="521"/>
      <c r="G22" s="529" t="e">
        <f>E22</f>
        <v>#DIV/0!</v>
      </c>
    </row>
    <row r="23" spans="1:15">
      <c r="A23" s="301">
        <v>14</v>
      </c>
      <c r="B23" s="530" t="s">
        <v>9</v>
      </c>
      <c r="C23" s="531"/>
      <c r="D23" s="532"/>
      <c r="E23" s="532"/>
      <c r="F23" s="531"/>
      <c r="G23" s="533" t="e">
        <f>SUM(G11:G22)</f>
        <v>#DIV/0!</v>
      </c>
      <c r="L23" s="274"/>
    </row>
    <row r="24" spans="1:15">
      <c r="A24" s="301">
        <v>15</v>
      </c>
      <c r="B24" s="530" t="s">
        <v>253</v>
      </c>
      <c r="C24" s="531"/>
      <c r="D24" s="532"/>
      <c r="E24" s="532"/>
      <c r="F24" s="531"/>
      <c r="G24" s="534" t="e">
        <f>G23/12</f>
        <v>#DIV/0!</v>
      </c>
    </row>
    <row r="25" spans="1:15">
      <c r="A25" s="294"/>
      <c r="B25" s="294"/>
      <c r="C25" s="294"/>
      <c r="D25" s="294"/>
      <c r="E25" s="294"/>
      <c r="F25" s="294"/>
      <c r="G25" s="294"/>
    </row>
    <row r="26" spans="1:15">
      <c r="A26" s="294"/>
      <c r="B26" s="294"/>
      <c r="C26" s="294"/>
      <c r="D26" s="294"/>
      <c r="E26" s="294"/>
      <c r="F26" s="294"/>
      <c r="G26" s="294"/>
    </row>
    <row r="27" spans="1:15" ht="30" customHeight="1">
      <c r="A27" s="535" t="s">
        <v>519</v>
      </c>
      <c r="B27" s="822" t="s">
        <v>802</v>
      </c>
      <c r="C27" s="823"/>
      <c r="D27" s="823"/>
      <c r="E27" s="823"/>
      <c r="F27" s="823"/>
      <c r="G27" s="823"/>
      <c r="H27" s="536"/>
      <c r="I27" s="536"/>
      <c r="J27" s="536"/>
      <c r="K27" s="536"/>
      <c r="L27" s="536"/>
      <c r="M27" s="536"/>
      <c r="N27" s="536"/>
      <c r="O27" s="536"/>
    </row>
    <row r="28" spans="1:15">
      <c r="A28" s="294"/>
      <c r="B28" s="537" t="s">
        <v>803</v>
      </c>
      <c r="C28" s="538"/>
      <c r="D28" s="538"/>
      <c r="E28" s="538"/>
      <c r="F28" s="538"/>
      <c r="G28" s="538"/>
      <c r="H28" s="539"/>
      <c r="I28" s="539"/>
    </row>
    <row r="29" spans="1:15">
      <c r="A29" s="294"/>
      <c r="B29" s="296" t="s">
        <v>965</v>
      </c>
      <c r="C29" s="538"/>
      <c r="D29" s="538"/>
      <c r="E29" s="538"/>
      <c r="F29" s="538"/>
      <c r="G29" s="538"/>
      <c r="H29" s="539"/>
      <c r="I29" s="539"/>
    </row>
    <row r="30" spans="1:15" ht="17.25" customHeight="1">
      <c r="A30" s="294"/>
      <c r="B30" s="824" t="s">
        <v>804</v>
      </c>
      <c r="C30" s="825"/>
      <c r="D30" s="825"/>
      <c r="E30" s="825"/>
      <c r="F30" s="825"/>
      <c r="G30" s="825"/>
    </row>
    <row r="35" spans="2:4" ht="13.8">
      <c r="B35" s="294"/>
      <c r="C35" s="540"/>
      <c r="D35" s="294"/>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12" zoomScale="80" zoomScaleNormal="80" workbookViewId="0">
      <selection activeCell="A56" sqref="A56"/>
    </sheetView>
  </sheetViews>
  <sheetFormatPr defaultColWidth="8.7265625" defaultRowHeight="13.8"/>
  <cols>
    <col min="1" max="1" width="5.7265625" style="1" customWidth="1"/>
    <col min="2" max="2" width="9.7265625" style="27" customWidth="1"/>
    <col min="3" max="6" width="12.7265625" style="2" customWidth="1"/>
    <col min="7" max="7" width="3" style="27" customWidth="1"/>
    <col min="8" max="11" width="12.7265625" style="2" customWidth="1"/>
    <col min="12" max="12" width="15.26953125" style="2" bestFit="1" customWidth="1"/>
    <col min="13" max="15" width="12.7265625" style="2" customWidth="1"/>
    <col min="16" max="16" width="10.7265625" style="2" customWidth="1"/>
    <col min="17" max="17" width="8.7265625" style="4"/>
    <col min="18" max="16384" width="8.7265625" style="2"/>
  </cols>
  <sheetData>
    <row r="1" spans="1:19">
      <c r="A1" s="779" t="s">
        <v>728</v>
      </c>
      <c r="B1" s="779"/>
      <c r="C1" s="779"/>
      <c r="D1" s="779"/>
      <c r="E1" s="779"/>
      <c r="F1" s="779"/>
      <c r="G1" s="779"/>
      <c r="H1" s="779"/>
      <c r="I1" s="779"/>
      <c r="J1" s="779"/>
      <c r="K1" s="779"/>
      <c r="L1" s="779"/>
      <c r="M1" s="779"/>
      <c r="N1" s="779"/>
      <c r="O1" s="779"/>
    </row>
    <row r="2" spans="1:19">
      <c r="A2" s="799" t="s">
        <v>710</v>
      </c>
      <c r="B2" s="799"/>
      <c r="C2" s="799"/>
      <c r="D2" s="799"/>
      <c r="E2" s="799"/>
      <c r="F2" s="799"/>
      <c r="G2" s="799"/>
      <c r="H2" s="799"/>
      <c r="I2" s="799"/>
      <c r="J2" s="799"/>
      <c r="K2" s="799"/>
      <c r="L2" s="799"/>
      <c r="M2" s="799"/>
      <c r="N2" s="799"/>
      <c r="O2" s="799"/>
    </row>
    <row r="3" spans="1:19">
      <c r="A3" s="800" t="str">
        <f>'Act Att-H'!C7</f>
        <v>Cheyenne Light, Fuel &amp; Power</v>
      </c>
      <c r="B3" s="800"/>
      <c r="C3" s="800"/>
      <c r="D3" s="800"/>
      <c r="E3" s="800"/>
      <c r="F3" s="800"/>
      <c r="G3" s="800"/>
      <c r="H3" s="800"/>
      <c r="I3" s="800"/>
      <c r="J3" s="800"/>
      <c r="K3" s="800"/>
      <c r="L3" s="800"/>
      <c r="M3" s="800"/>
      <c r="N3" s="800"/>
      <c r="O3" s="800"/>
    </row>
    <row r="4" spans="1:19">
      <c r="A4" s="5"/>
      <c r="C4" s="3"/>
      <c r="D4" s="3"/>
      <c r="E4" s="3"/>
      <c r="F4" s="3"/>
      <c r="G4" s="341"/>
      <c r="H4" s="3"/>
      <c r="I4" s="3"/>
      <c r="J4" s="3"/>
      <c r="O4" s="6" t="s">
        <v>673</v>
      </c>
    </row>
    <row r="5" spans="1:19" ht="15" customHeight="1">
      <c r="A5" s="44"/>
      <c r="C5" s="46"/>
      <c r="D5" s="46"/>
      <c r="E5" s="46"/>
      <c r="F5" s="46"/>
      <c r="G5" s="342"/>
    </row>
    <row r="6" spans="1:19" s="311" customFormat="1">
      <c r="A6" s="345" t="s">
        <v>4</v>
      </c>
      <c r="G6" s="320"/>
      <c r="H6" s="353" t="s">
        <v>694</v>
      </c>
      <c r="I6" s="595" t="s">
        <v>1030</v>
      </c>
      <c r="P6" s="2"/>
      <c r="Q6" s="4"/>
      <c r="R6" s="2"/>
      <c r="S6" s="2"/>
    </row>
    <row r="7" spans="1:19" s="311" customFormat="1">
      <c r="A7" s="343">
        <v>1</v>
      </c>
      <c r="B7" s="320"/>
      <c r="C7" s="826"/>
      <c r="D7" s="826"/>
      <c r="E7" s="826"/>
      <c r="F7" s="826"/>
      <c r="G7" s="320"/>
      <c r="H7" s="312" t="s">
        <v>687</v>
      </c>
      <c r="I7" s="333" t="s">
        <v>695</v>
      </c>
      <c r="J7" s="333"/>
      <c r="K7" s="359"/>
      <c r="L7" s="312" t="s">
        <v>687</v>
      </c>
      <c r="M7" s="333" t="s">
        <v>697</v>
      </c>
      <c r="N7" s="333"/>
      <c r="O7" s="359"/>
      <c r="P7" s="2"/>
      <c r="Q7" s="4"/>
      <c r="R7" s="2"/>
      <c r="S7" s="2"/>
    </row>
    <row r="8" spans="1:19" s="311" customFormat="1">
      <c r="A8" s="343">
        <f>A7+1</f>
        <v>2</v>
      </c>
      <c r="G8" s="320"/>
      <c r="H8" s="313" t="s">
        <v>696</v>
      </c>
      <c r="I8" s="334" t="s">
        <v>688</v>
      </c>
      <c r="J8" s="334"/>
      <c r="K8" s="314"/>
      <c r="L8" s="313" t="s">
        <v>696</v>
      </c>
      <c r="M8" s="334" t="s">
        <v>688</v>
      </c>
      <c r="N8" s="334"/>
      <c r="O8" s="314"/>
      <c r="P8" s="2"/>
      <c r="Q8" s="4"/>
      <c r="R8" s="2"/>
      <c r="S8" s="2"/>
    </row>
    <row r="9" spans="1:19" s="311" customFormat="1">
      <c r="A9" s="343">
        <f t="shared" ref="A9:A14" si="0">A8+1</f>
        <v>3</v>
      </c>
      <c r="B9" s="320"/>
      <c r="C9" s="826"/>
      <c r="D9" s="826"/>
      <c r="E9" s="826"/>
      <c r="F9" s="826"/>
      <c r="G9" s="320"/>
      <c r="H9" s="313" t="s">
        <v>714</v>
      </c>
      <c r="I9" s="335">
        <v>0</v>
      </c>
      <c r="J9" s="335"/>
      <c r="K9" s="314" t="s">
        <v>636</v>
      </c>
      <c r="L9" s="313" t="s">
        <v>714</v>
      </c>
      <c r="M9" s="335">
        <v>0</v>
      </c>
      <c r="N9" s="335"/>
      <c r="O9" s="314" t="s">
        <v>636</v>
      </c>
      <c r="P9" s="2"/>
      <c r="Q9" s="4"/>
      <c r="R9" s="2"/>
      <c r="S9" s="2"/>
    </row>
    <row r="10" spans="1:19" s="311" customFormat="1">
      <c r="A10" s="343">
        <f t="shared" si="0"/>
        <v>4</v>
      </c>
      <c r="G10" s="320"/>
      <c r="H10" s="313" t="s">
        <v>690</v>
      </c>
      <c r="I10" s="335">
        <v>0</v>
      </c>
      <c r="J10" s="335"/>
      <c r="K10" s="314" t="s">
        <v>700</v>
      </c>
      <c r="L10" s="313" t="s">
        <v>690</v>
      </c>
      <c r="M10" s="335">
        <v>0</v>
      </c>
      <c r="N10" s="335"/>
      <c r="O10" s="314" t="s">
        <v>700</v>
      </c>
      <c r="P10" s="2"/>
      <c r="Q10" s="4"/>
      <c r="R10" s="2"/>
      <c r="S10" s="2"/>
    </row>
    <row r="11" spans="1:19" s="311" customFormat="1">
      <c r="A11" s="343">
        <f t="shared" si="0"/>
        <v>5</v>
      </c>
      <c r="B11" s="320"/>
      <c r="C11" s="826"/>
      <c r="D11" s="826"/>
      <c r="E11" s="826"/>
      <c r="F11" s="826"/>
      <c r="G11" s="320"/>
      <c r="H11" s="313" t="s">
        <v>713</v>
      </c>
      <c r="I11" s="315">
        <f>I10*'Act Att-H'!E214</f>
        <v>0</v>
      </c>
      <c r="J11" s="315"/>
      <c r="K11" s="314"/>
      <c r="L11" s="313" t="s">
        <v>713</v>
      </c>
      <c r="M11" s="315">
        <f>M10*'Act Att-H'!E214</f>
        <v>0</v>
      </c>
      <c r="N11" s="315"/>
      <c r="O11" s="314"/>
      <c r="P11" s="2"/>
      <c r="Q11" s="4"/>
      <c r="R11" s="2"/>
      <c r="S11" s="2"/>
    </row>
    <row r="12" spans="1:19" s="311" customFormat="1">
      <c r="A12" s="343">
        <f t="shared" si="0"/>
        <v>6</v>
      </c>
      <c r="G12" s="320"/>
      <c r="H12" s="313" t="s">
        <v>691</v>
      </c>
      <c r="I12" s="337"/>
      <c r="J12" s="337"/>
      <c r="K12" s="314"/>
      <c r="L12" s="313" t="s">
        <v>691</v>
      </c>
      <c r="M12" s="337"/>
      <c r="N12" s="337"/>
      <c r="O12" s="314"/>
      <c r="P12" s="2"/>
      <c r="Q12" s="4"/>
      <c r="R12" s="2"/>
      <c r="S12" s="2"/>
    </row>
    <row r="13" spans="1:19" s="311" customFormat="1">
      <c r="A13" s="343">
        <f t="shared" si="0"/>
        <v>7</v>
      </c>
      <c r="B13" s="320"/>
      <c r="C13" s="826"/>
      <c r="D13" s="826"/>
      <c r="E13" s="826"/>
      <c r="F13" s="826"/>
      <c r="G13" s="320"/>
      <c r="H13" s="313"/>
      <c r="I13" s="3"/>
      <c r="J13" s="3"/>
      <c r="K13" s="314"/>
      <c r="L13" s="313"/>
      <c r="M13" s="3"/>
      <c r="N13" s="3"/>
      <c r="O13" s="314"/>
      <c r="P13" s="2"/>
      <c r="Q13" s="4"/>
      <c r="R13" s="2"/>
      <c r="S13" s="2"/>
    </row>
    <row r="14" spans="1:19" s="311" customFormat="1">
      <c r="A14" s="343">
        <f t="shared" si="0"/>
        <v>8</v>
      </c>
      <c r="B14" s="320"/>
      <c r="C14" s="798" t="s">
        <v>9</v>
      </c>
      <c r="D14" s="798"/>
      <c r="E14" s="798"/>
      <c r="F14" s="798"/>
      <c r="G14" s="320"/>
      <c r="H14" s="313"/>
      <c r="I14" s="3"/>
      <c r="J14" s="3"/>
      <c r="K14" s="314"/>
      <c r="L14" s="313"/>
      <c r="M14" s="3"/>
      <c r="N14" s="3"/>
      <c r="O14" s="314"/>
      <c r="P14" s="2"/>
      <c r="Q14" s="4"/>
      <c r="R14" s="2"/>
      <c r="S14" s="2"/>
    </row>
    <row r="15" spans="1:19" s="311" customFormat="1">
      <c r="A15" s="343"/>
      <c r="B15" s="320"/>
      <c r="G15" s="320"/>
      <c r="H15" s="313"/>
      <c r="I15" s="3"/>
      <c r="J15" s="3"/>
      <c r="K15" s="314"/>
      <c r="L15" s="313"/>
      <c r="M15" s="3"/>
      <c r="N15" s="3"/>
      <c r="O15" s="314"/>
      <c r="P15" s="2"/>
      <c r="Q15" s="4"/>
      <c r="R15" s="2"/>
      <c r="S15" s="2"/>
    </row>
    <row r="16" spans="1:19" s="311" customFormat="1">
      <c r="A16" s="320"/>
      <c r="B16" s="340" t="s">
        <v>712</v>
      </c>
      <c r="C16" s="340" t="s">
        <v>485</v>
      </c>
      <c r="D16" s="340" t="s">
        <v>486</v>
      </c>
      <c r="E16" s="340" t="s">
        <v>487</v>
      </c>
      <c r="F16" s="340" t="s">
        <v>707</v>
      </c>
      <c r="G16" s="320"/>
      <c r="H16" s="355" t="s">
        <v>485</v>
      </c>
      <c r="I16" s="340" t="s">
        <v>486</v>
      </c>
      <c r="J16" s="340" t="s">
        <v>487</v>
      </c>
      <c r="K16" s="360" t="s">
        <v>693</v>
      </c>
      <c r="L16" s="355" t="s">
        <v>485</v>
      </c>
      <c r="M16" s="340" t="s">
        <v>486</v>
      </c>
      <c r="N16" s="340" t="s">
        <v>487</v>
      </c>
      <c r="O16" s="360" t="s">
        <v>693</v>
      </c>
      <c r="P16" s="2"/>
      <c r="Q16" s="4"/>
      <c r="R16" s="2"/>
      <c r="S16" s="2"/>
    </row>
    <row r="17" spans="1:19" s="311" customFormat="1">
      <c r="A17" s="320"/>
      <c r="B17" s="317" t="s">
        <v>157</v>
      </c>
      <c r="C17" s="317" t="s">
        <v>158</v>
      </c>
      <c r="D17" s="317" t="s">
        <v>703</v>
      </c>
      <c r="E17" s="317" t="s">
        <v>704</v>
      </c>
      <c r="F17" s="317" t="s">
        <v>705</v>
      </c>
      <c r="G17" s="317"/>
      <c r="H17" s="356" t="s">
        <v>715</v>
      </c>
      <c r="I17" s="317" t="s">
        <v>716</v>
      </c>
      <c r="J17" s="317" t="s">
        <v>717</v>
      </c>
      <c r="K17" s="316" t="s">
        <v>718</v>
      </c>
      <c r="L17" s="356" t="s">
        <v>719</v>
      </c>
      <c r="M17" s="317" t="s">
        <v>720</v>
      </c>
      <c r="N17" s="317" t="s">
        <v>721</v>
      </c>
      <c r="O17" s="316" t="s">
        <v>722</v>
      </c>
      <c r="P17" s="2"/>
      <c r="Q17" s="4"/>
      <c r="R17" s="2"/>
      <c r="S17" s="2"/>
    </row>
    <row r="18" spans="1:19" s="311" customFormat="1">
      <c r="A18" s="320"/>
      <c r="B18" s="320"/>
      <c r="G18" s="320"/>
      <c r="H18" s="338">
        <f>I12</f>
        <v>0</v>
      </c>
      <c r="I18" s="320"/>
      <c r="J18" s="320"/>
      <c r="K18" s="321"/>
      <c r="L18" s="338">
        <f>M12</f>
        <v>0</v>
      </c>
      <c r="M18" s="320"/>
      <c r="N18" s="320"/>
      <c r="O18" s="321"/>
      <c r="P18" s="2"/>
      <c r="Q18" s="4"/>
      <c r="R18" s="2"/>
      <c r="S18" s="2"/>
    </row>
    <row r="19" spans="1:19" s="311" customFormat="1">
      <c r="A19" s="343">
        <f>A14+1</f>
        <v>9</v>
      </c>
      <c r="B19" s="285" t="s">
        <v>1223</v>
      </c>
      <c r="C19" s="322">
        <f>+H19+L19</f>
        <v>0</v>
      </c>
      <c r="D19" s="322">
        <f t="shared" ref="D19:E19" si="1">+I19+M19</f>
        <v>0</v>
      </c>
      <c r="E19" s="322">
        <f t="shared" si="1"/>
        <v>0</v>
      </c>
      <c r="F19" s="354"/>
      <c r="G19" s="343"/>
      <c r="H19" s="338">
        <f>H18</f>
        <v>0</v>
      </c>
      <c r="I19" s="685">
        <f>H19*I$9</f>
        <v>0</v>
      </c>
      <c r="J19" s="685">
        <f>I19</f>
        <v>0</v>
      </c>
      <c r="K19" s="324">
        <f>+H19-J19</f>
        <v>0</v>
      </c>
      <c r="L19" s="338">
        <f>L18</f>
        <v>0</v>
      </c>
      <c r="M19" s="685">
        <f>L19*M$9</f>
        <v>0</v>
      </c>
      <c r="N19" s="685">
        <f>M19</f>
        <v>0</v>
      </c>
      <c r="O19" s="324">
        <f>+L19-N19</f>
        <v>0</v>
      </c>
      <c r="P19" s="2"/>
      <c r="Q19" s="4"/>
      <c r="R19" s="2"/>
      <c r="S19" s="2"/>
    </row>
    <row r="20" spans="1:19" s="311" customFormat="1">
      <c r="A20" s="343">
        <f t="shared" ref="A20:A42" si="2">A19+1</f>
        <v>10</v>
      </c>
      <c r="B20" s="285" t="s">
        <v>1223</v>
      </c>
      <c r="C20" s="322">
        <f t="shared" ref="C20:C42" si="3">+H20+L20</f>
        <v>0</v>
      </c>
      <c r="D20" s="322">
        <f t="shared" ref="D20:D42" si="4">+I20+M20</f>
        <v>0</v>
      </c>
      <c r="E20" s="322">
        <f t="shared" ref="E20:E42" si="5">+J20+N20</f>
        <v>0</v>
      </c>
      <c r="F20" s="354"/>
      <c r="G20" s="343"/>
      <c r="H20" s="338">
        <v>0</v>
      </c>
      <c r="I20" s="685">
        <f t="shared" ref="I20:I42" si="6">H20*I$9</f>
        <v>0</v>
      </c>
      <c r="J20" s="685">
        <f>J19+I20</f>
        <v>0</v>
      </c>
      <c r="K20" s="324">
        <f>+H20-J20</f>
        <v>0</v>
      </c>
      <c r="L20" s="338">
        <v>0</v>
      </c>
      <c r="M20" s="685">
        <f t="shared" ref="M20:M42" si="7">L20*M$9</f>
        <v>0</v>
      </c>
      <c r="N20" s="685">
        <f>N19+M20</f>
        <v>0</v>
      </c>
      <c r="O20" s="324">
        <f>+L20-N20</f>
        <v>0</v>
      </c>
      <c r="P20" s="2"/>
      <c r="Q20" s="4"/>
      <c r="R20" s="2"/>
      <c r="S20" s="2"/>
    </row>
    <row r="21" spans="1:19" s="311" customFormat="1">
      <c r="A21" s="343">
        <f t="shared" si="2"/>
        <v>11</v>
      </c>
      <c r="B21" s="285" t="s">
        <v>1223</v>
      </c>
      <c r="C21" s="322">
        <f t="shared" si="3"/>
        <v>0</v>
      </c>
      <c r="D21" s="322">
        <f t="shared" si="4"/>
        <v>0</v>
      </c>
      <c r="E21" s="322">
        <f t="shared" si="5"/>
        <v>0</v>
      </c>
      <c r="F21" s="354"/>
      <c r="G21" s="343"/>
      <c r="H21" s="338">
        <v>0</v>
      </c>
      <c r="I21" s="685">
        <f t="shared" si="6"/>
        <v>0</v>
      </c>
      <c r="J21" s="685">
        <f t="shared" ref="J21:J42" si="8">J20+I21</f>
        <v>0</v>
      </c>
      <c r="K21" s="324">
        <f t="shared" ref="K21:K42" si="9">+H21-J21</f>
        <v>0</v>
      </c>
      <c r="L21" s="338">
        <v>0</v>
      </c>
      <c r="M21" s="685">
        <f t="shared" si="7"/>
        <v>0</v>
      </c>
      <c r="N21" s="685">
        <f t="shared" ref="N21:N42" si="10">N20+M21</f>
        <v>0</v>
      </c>
      <c r="O21" s="324">
        <f t="shared" ref="O21:O42" si="11">+L21-N21</f>
        <v>0</v>
      </c>
      <c r="P21" s="2"/>
      <c r="Q21" s="4"/>
      <c r="R21" s="2"/>
      <c r="S21" s="2"/>
    </row>
    <row r="22" spans="1:19" s="311" customFormat="1">
      <c r="A22" s="343">
        <f t="shared" si="2"/>
        <v>12</v>
      </c>
      <c r="B22" s="285" t="s">
        <v>1223</v>
      </c>
      <c r="C22" s="322">
        <f t="shared" si="3"/>
        <v>0</v>
      </c>
      <c r="D22" s="322">
        <f t="shared" si="4"/>
        <v>0</v>
      </c>
      <c r="E22" s="322">
        <f t="shared" si="5"/>
        <v>0</v>
      </c>
      <c r="F22" s="354"/>
      <c r="G22" s="343"/>
      <c r="H22" s="338">
        <v>0</v>
      </c>
      <c r="I22" s="685">
        <f t="shared" si="6"/>
        <v>0</v>
      </c>
      <c r="J22" s="685">
        <f t="shared" si="8"/>
        <v>0</v>
      </c>
      <c r="K22" s="324">
        <f t="shared" si="9"/>
        <v>0</v>
      </c>
      <c r="L22" s="338">
        <v>0</v>
      </c>
      <c r="M22" s="685">
        <f t="shared" si="7"/>
        <v>0</v>
      </c>
      <c r="N22" s="685">
        <f t="shared" si="10"/>
        <v>0</v>
      </c>
      <c r="O22" s="324">
        <f t="shared" si="11"/>
        <v>0</v>
      </c>
      <c r="P22" s="2"/>
      <c r="Q22" s="4"/>
      <c r="R22" s="2"/>
      <c r="S22" s="2"/>
    </row>
    <row r="23" spans="1:19" s="311" customFormat="1">
      <c r="A23" s="343">
        <f t="shared" si="2"/>
        <v>13</v>
      </c>
      <c r="B23" s="285" t="s">
        <v>1223</v>
      </c>
      <c r="C23" s="322">
        <f t="shared" si="3"/>
        <v>0</v>
      </c>
      <c r="D23" s="322">
        <f t="shared" si="4"/>
        <v>0</v>
      </c>
      <c r="E23" s="322">
        <f t="shared" si="5"/>
        <v>0</v>
      </c>
      <c r="F23" s="354"/>
      <c r="G23" s="343"/>
      <c r="H23" s="338">
        <v>0</v>
      </c>
      <c r="I23" s="685">
        <f t="shared" si="6"/>
        <v>0</v>
      </c>
      <c r="J23" s="685">
        <f t="shared" si="8"/>
        <v>0</v>
      </c>
      <c r="K23" s="324">
        <f t="shared" si="9"/>
        <v>0</v>
      </c>
      <c r="L23" s="338">
        <v>0</v>
      </c>
      <c r="M23" s="685">
        <f t="shared" si="7"/>
        <v>0</v>
      </c>
      <c r="N23" s="685">
        <f t="shared" si="10"/>
        <v>0</v>
      </c>
      <c r="O23" s="324">
        <f t="shared" si="11"/>
        <v>0</v>
      </c>
      <c r="P23" s="2"/>
      <c r="Q23" s="4"/>
      <c r="R23" s="2"/>
      <c r="S23" s="2"/>
    </row>
    <row r="24" spans="1:19" s="311" customFormat="1">
      <c r="A24" s="343">
        <f t="shared" si="2"/>
        <v>14</v>
      </c>
      <c r="B24" s="285" t="s">
        <v>1223</v>
      </c>
      <c r="C24" s="322">
        <f t="shared" si="3"/>
        <v>0</v>
      </c>
      <c r="D24" s="322">
        <f t="shared" si="4"/>
        <v>0</v>
      </c>
      <c r="E24" s="322">
        <f t="shared" si="5"/>
        <v>0</v>
      </c>
      <c r="F24" s="354"/>
      <c r="G24" s="343"/>
      <c r="H24" s="338">
        <v>0</v>
      </c>
      <c r="I24" s="685">
        <f t="shared" si="6"/>
        <v>0</v>
      </c>
      <c r="J24" s="685">
        <f t="shared" si="8"/>
        <v>0</v>
      </c>
      <c r="K24" s="324">
        <f t="shared" si="9"/>
        <v>0</v>
      </c>
      <c r="L24" s="338">
        <v>0</v>
      </c>
      <c r="M24" s="685">
        <f t="shared" si="7"/>
        <v>0</v>
      </c>
      <c r="N24" s="685">
        <f t="shared" si="10"/>
        <v>0</v>
      </c>
      <c r="O24" s="324">
        <f t="shared" si="11"/>
        <v>0</v>
      </c>
      <c r="P24" s="2"/>
      <c r="Q24" s="4"/>
      <c r="R24" s="2"/>
      <c r="S24" s="2"/>
    </row>
    <row r="25" spans="1:19" s="311" customFormat="1">
      <c r="A25" s="343">
        <f t="shared" si="2"/>
        <v>15</v>
      </c>
      <c r="B25" s="285" t="s">
        <v>1223</v>
      </c>
      <c r="C25" s="322">
        <f t="shared" si="3"/>
        <v>0</v>
      </c>
      <c r="D25" s="322">
        <f t="shared" si="4"/>
        <v>0</v>
      </c>
      <c r="E25" s="322">
        <f t="shared" si="5"/>
        <v>0</v>
      </c>
      <c r="F25" s="354"/>
      <c r="G25" s="343"/>
      <c r="H25" s="338">
        <v>0</v>
      </c>
      <c r="I25" s="685">
        <f t="shared" si="6"/>
        <v>0</v>
      </c>
      <c r="J25" s="685">
        <f t="shared" si="8"/>
        <v>0</v>
      </c>
      <c r="K25" s="324">
        <f t="shared" si="9"/>
        <v>0</v>
      </c>
      <c r="L25" s="338">
        <v>0</v>
      </c>
      <c r="M25" s="685">
        <f t="shared" si="7"/>
        <v>0</v>
      </c>
      <c r="N25" s="685">
        <f t="shared" si="10"/>
        <v>0</v>
      </c>
      <c r="O25" s="324">
        <f t="shared" si="11"/>
        <v>0</v>
      </c>
      <c r="P25" s="2"/>
      <c r="Q25" s="4"/>
      <c r="R25" s="2"/>
      <c r="S25" s="2"/>
    </row>
    <row r="26" spans="1:19" s="311" customFormat="1">
      <c r="A26" s="343">
        <f t="shared" si="2"/>
        <v>16</v>
      </c>
      <c r="B26" s="285" t="s">
        <v>1223</v>
      </c>
      <c r="C26" s="322">
        <f t="shared" si="3"/>
        <v>0</v>
      </c>
      <c r="D26" s="322">
        <f t="shared" si="4"/>
        <v>0</v>
      </c>
      <c r="E26" s="322">
        <f t="shared" si="5"/>
        <v>0</v>
      </c>
      <c r="F26" s="354"/>
      <c r="G26" s="343"/>
      <c r="H26" s="338">
        <v>0</v>
      </c>
      <c r="I26" s="685">
        <f t="shared" si="6"/>
        <v>0</v>
      </c>
      <c r="J26" s="685">
        <f t="shared" si="8"/>
        <v>0</v>
      </c>
      <c r="K26" s="324">
        <f t="shared" si="9"/>
        <v>0</v>
      </c>
      <c r="L26" s="338">
        <v>0</v>
      </c>
      <c r="M26" s="685">
        <f t="shared" si="7"/>
        <v>0</v>
      </c>
      <c r="N26" s="685">
        <f t="shared" si="10"/>
        <v>0</v>
      </c>
      <c r="O26" s="324">
        <f t="shared" si="11"/>
        <v>0</v>
      </c>
      <c r="P26" s="2"/>
      <c r="Q26" s="4"/>
      <c r="R26" s="2"/>
      <c r="S26" s="2"/>
    </row>
    <row r="27" spans="1:19" s="311" customFormat="1">
      <c r="A27" s="343">
        <f t="shared" si="2"/>
        <v>17</v>
      </c>
      <c r="B27" s="285" t="s">
        <v>1223</v>
      </c>
      <c r="C27" s="322">
        <f t="shared" si="3"/>
        <v>0</v>
      </c>
      <c r="D27" s="322">
        <f t="shared" si="4"/>
        <v>0</v>
      </c>
      <c r="E27" s="322">
        <f t="shared" si="5"/>
        <v>0</v>
      </c>
      <c r="F27" s="354"/>
      <c r="G27" s="343"/>
      <c r="H27" s="338">
        <v>0</v>
      </c>
      <c r="I27" s="685">
        <f t="shared" si="6"/>
        <v>0</v>
      </c>
      <c r="J27" s="685">
        <f t="shared" si="8"/>
        <v>0</v>
      </c>
      <c r="K27" s="324">
        <f t="shared" si="9"/>
        <v>0</v>
      </c>
      <c r="L27" s="338">
        <v>0</v>
      </c>
      <c r="M27" s="685">
        <f t="shared" si="7"/>
        <v>0</v>
      </c>
      <c r="N27" s="685">
        <f t="shared" si="10"/>
        <v>0</v>
      </c>
      <c r="O27" s="324">
        <f t="shared" si="11"/>
        <v>0</v>
      </c>
      <c r="P27" s="2"/>
      <c r="Q27" s="4"/>
      <c r="R27" s="2"/>
      <c r="S27" s="2"/>
    </row>
    <row r="28" spans="1:19" s="311" customFormat="1">
      <c r="A28" s="343">
        <f t="shared" si="2"/>
        <v>18</v>
      </c>
      <c r="B28" s="285" t="s">
        <v>1223</v>
      </c>
      <c r="C28" s="322">
        <f t="shared" si="3"/>
        <v>0</v>
      </c>
      <c r="D28" s="322">
        <f t="shared" si="4"/>
        <v>0</v>
      </c>
      <c r="E28" s="322">
        <f t="shared" si="5"/>
        <v>0</v>
      </c>
      <c r="F28" s="354"/>
      <c r="G28" s="343"/>
      <c r="H28" s="338">
        <v>0</v>
      </c>
      <c r="I28" s="685">
        <f t="shared" si="6"/>
        <v>0</v>
      </c>
      <c r="J28" s="685">
        <f t="shared" si="8"/>
        <v>0</v>
      </c>
      <c r="K28" s="324">
        <f t="shared" si="9"/>
        <v>0</v>
      </c>
      <c r="L28" s="338">
        <v>0</v>
      </c>
      <c r="M28" s="685">
        <f t="shared" si="7"/>
        <v>0</v>
      </c>
      <c r="N28" s="685">
        <f t="shared" si="10"/>
        <v>0</v>
      </c>
      <c r="O28" s="324">
        <f t="shared" si="11"/>
        <v>0</v>
      </c>
      <c r="P28" s="2"/>
      <c r="Q28" s="4"/>
      <c r="R28" s="2"/>
      <c r="S28" s="2"/>
    </row>
    <row r="29" spans="1:19" s="311" customFormat="1">
      <c r="A29" s="343">
        <f t="shared" si="2"/>
        <v>19</v>
      </c>
      <c r="B29" s="285" t="s">
        <v>1223</v>
      </c>
      <c r="C29" s="322">
        <f t="shared" si="3"/>
        <v>0</v>
      </c>
      <c r="D29" s="322">
        <f t="shared" si="4"/>
        <v>0</v>
      </c>
      <c r="E29" s="322">
        <f t="shared" si="5"/>
        <v>0</v>
      </c>
      <c r="F29" s="354"/>
      <c r="G29" s="343"/>
      <c r="H29" s="338">
        <v>0</v>
      </c>
      <c r="I29" s="685">
        <f t="shared" si="6"/>
        <v>0</v>
      </c>
      <c r="J29" s="685">
        <f t="shared" si="8"/>
        <v>0</v>
      </c>
      <c r="K29" s="324">
        <f t="shared" si="9"/>
        <v>0</v>
      </c>
      <c r="L29" s="338">
        <v>0</v>
      </c>
      <c r="M29" s="685">
        <f t="shared" si="7"/>
        <v>0</v>
      </c>
      <c r="N29" s="685">
        <f t="shared" si="10"/>
        <v>0</v>
      </c>
      <c r="O29" s="324">
        <f t="shared" si="11"/>
        <v>0</v>
      </c>
      <c r="P29" s="2"/>
      <c r="Q29" s="4"/>
      <c r="R29" s="2"/>
      <c r="S29" s="2"/>
    </row>
    <row r="30" spans="1:19" s="311" customFormat="1">
      <c r="A30" s="343">
        <f t="shared" si="2"/>
        <v>20</v>
      </c>
      <c r="B30" s="285" t="s">
        <v>1223</v>
      </c>
      <c r="C30" s="322">
        <f t="shared" si="3"/>
        <v>0</v>
      </c>
      <c r="D30" s="322">
        <f t="shared" si="4"/>
        <v>0</v>
      </c>
      <c r="E30" s="322">
        <f t="shared" si="5"/>
        <v>0</v>
      </c>
      <c r="F30" s="354"/>
      <c r="G30" s="343"/>
      <c r="H30" s="338">
        <v>0</v>
      </c>
      <c r="I30" s="685">
        <f t="shared" si="6"/>
        <v>0</v>
      </c>
      <c r="J30" s="685">
        <f t="shared" si="8"/>
        <v>0</v>
      </c>
      <c r="K30" s="324">
        <f t="shared" si="9"/>
        <v>0</v>
      </c>
      <c r="L30" s="338">
        <v>0</v>
      </c>
      <c r="M30" s="685">
        <f t="shared" si="7"/>
        <v>0</v>
      </c>
      <c r="N30" s="685">
        <f t="shared" si="10"/>
        <v>0</v>
      </c>
      <c r="O30" s="324">
        <f t="shared" si="11"/>
        <v>0</v>
      </c>
      <c r="P30" s="2"/>
      <c r="Q30" s="4"/>
      <c r="R30" s="2"/>
      <c r="S30" s="2"/>
    </row>
    <row r="31" spans="1:19" s="311" customFormat="1">
      <c r="A31" s="343">
        <f t="shared" si="2"/>
        <v>21</v>
      </c>
      <c r="B31" s="285" t="s">
        <v>1223</v>
      </c>
      <c r="C31" s="322">
        <f t="shared" si="3"/>
        <v>0</v>
      </c>
      <c r="D31" s="322">
        <f t="shared" si="4"/>
        <v>0</v>
      </c>
      <c r="E31" s="322">
        <f t="shared" si="5"/>
        <v>0</v>
      </c>
      <c r="F31" s="354"/>
      <c r="G31" s="343"/>
      <c r="H31" s="338">
        <v>0</v>
      </c>
      <c r="I31" s="685">
        <f t="shared" si="6"/>
        <v>0</v>
      </c>
      <c r="J31" s="685">
        <f t="shared" si="8"/>
        <v>0</v>
      </c>
      <c r="K31" s="324">
        <f t="shared" si="9"/>
        <v>0</v>
      </c>
      <c r="L31" s="338">
        <v>0</v>
      </c>
      <c r="M31" s="685">
        <f t="shared" si="7"/>
        <v>0</v>
      </c>
      <c r="N31" s="685">
        <f t="shared" si="10"/>
        <v>0</v>
      </c>
      <c r="O31" s="324">
        <f t="shared" si="11"/>
        <v>0</v>
      </c>
      <c r="P31" s="2"/>
      <c r="Q31" s="4"/>
      <c r="R31" s="2"/>
      <c r="S31" s="2"/>
    </row>
    <row r="32" spans="1:19" s="311" customFormat="1">
      <c r="A32" s="343">
        <f t="shared" si="2"/>
        <v>22</v>
      </c>
      <c r="B32" s="285" t="s">
        <v>1223</v>
      </c>
      <c r="C32" s="322">
        <f t="shared" si="3"/>
        <v>0</v>
      </c>
      <c r="D32" s="322">
        <f t="shared" si="4"/>
        <v>0</v>
      </c>
      <c r="E32" s="322">
        <f t="shared" si="5"/>
        <v>0</v>
      </c>
      <c r="F32" s="354"/>
      <c r="G32" s="343"/>
      <c r="H32" s="338">
        <v>0</v>
      </c>
      <c r="I32" s="685">
        <f t="shared" si="6"/>
        <v>0</v>
      </c>
      <c r="J32" s="685">
        <f t="shared" si="8"/>
        <v>0</v>
      </c>
      <c r="K32" s="324">
        <f t="shared" si="9"/>
        <v>0</v>
      </c>
      <c r="L32" s="338">
        <v>0</v>
      </c>
      <c r="M32" s="685">
        <f t="shared" si="7"/>
        <v>0</v>
      </c>
      <c r="N32" s="685">
        <f t="shared" si="10"/>
        <v>0</v>
      </c>
      <c r="O32" s="324">
        <f t="shared" si="11"/>
        <v>0</v>
      </c>
      <c r="P32" s="2"/>
      <c r="Q32" s="4"/>
      <c r="R32" s="2"/>
      <c r="S32" s="2"/>
    </row>
    <row r="33" spans="1:19" s="311" customFormat="1">
      <c r="A33" s="343">
        <f t="shared" si="2"/>
        <v>23</v>
      </c>
      <c r="B33" s="285" t="s">
        <v>1223</v>
      </c>
      <c r="C33" s="322">
        <f t="shared" si="3"/>
        <v>0</v>
      </c>
      <c r="D33" s="322">
        <f t="shared" si="4"/>
        <v>0</v>
      </c>
      <c r="E33" s="322">
        <f t="shared" si="5"/>
        <v>0</v>
      </c>
      <c r="F33" s="354"/>
      <c r="G33" s="343"/>
      <c r="H33" s="338">
        <v>0</v>
      </c>
      <c r="I33" s="685">
        <f t="shared" si="6"/>
        <v>0</v>
      </c>
      <c r="J33" s="685">
        <f t="shared" si="8"/>
        <v>0</v>
      </c>
      <c r="K33" s="324">
        <f t="shared" si="9"/>
        <v>0</v>
      </c>
      <c r="L33" s="338">
        <v>0</v>
      </c>
      <c r="M33" s="685">
        <f t="shared" si="7"/>
        <v>0</v>
      </c>
      <c r="N33" s="685">
        <f t="shared" si="10"/>
        <v>0</v>
      </c>
      <c r="O33" s="324">
        <f t="shared" si="11"/>
        <v>0</v>
      </c>
      <c r="P33" s="2"/>
      <c r="Q33" s="4"/>
      <c r="R33" s="2"/>
      <c r="S33" s="2"/>
    </row>
    <row r="34" spans="1:19" s="311" customFormat="1">
      <c r="A34" s="343">
        <f t="shared" si="2"/>
        <v>24</v>
      </c>
      <c r="B34" s="285" t="s">
        <v>1223</v>
      </c>
      <c r="C34" s="322">
        <f t="shared" si="3"/>
        <v>0</v>
      </c>
      <c r="D34" s="322">
        <f t="shared" si="4"/>
        <v>0</v>
      </c>
      <c r="E34" s="322">
        <f t="shared" si="5"/>
        <v>0</v>
      </c>
      <c r="F34" s="354"/>
      <c r="G34" s="343"/>
      <c r="H34" s="338">
        <v>0</v>
      </c>
      <c r="I34" s="685">
        <f t="shared" si="6"/>
        <v>0</v>
      </c>
      <c r="J34" s="685">
        <f t="shared" si="8"/>
        <v>0</v>
      </c>
      <c r="K34" s="324">
        <f t="shared" si="9"/>
        <v>0</v>
      </c>
      <c r="L34" s="338">
        <v>0</v>
      </c>
      <c r="M34" s="685">
        <f t="shared" si="7"/>
        <v>0</v>
      </c>
      <c r="N34" s="685">
        <f t="shared" si="10"/>
        <v>0</v>
      </c>
      <c r="O34" s="324">
        <f t="shared" si="11"/>
        <v>0</v>
      </c>
      <c r="P34" s="2"/>
      <c r="Q34" s="4"/>
      <c r="R34" s="2"/>
      <c r="S34" s="2"/>
    </row>
    <row r="35" spans="1:19" s="311" customFormat="1">
      <c r="A35" s="343">
        <f t="shared" si="2"/>
        <v>25</v>
      </c>
      <c r="B35" s="285" t="s">
        <v>1223</v>
      </c>
      <c r="C35" s="322">
        <f t="shared" si="3"/>
        <v>0</v>
      </c>
      <c r="D35" s="322">
        <f t="shared" si="4"/>
        <v>0</v>
      </c>
      <c r="E35" s="322">
        <f t="shared" si="5"/>
        <v>0</v>
      </c>
      <c r="F35" s="354"/>
      <c r="G35" s="343"/>
      <c r="H35" s="338">
        <v>0</v>
      </c>
      <c r="I35" s="685">
        <f t="shared" si="6"/>
        <v>0</v>
      </c>
      <c r="J35" s="685">
        <f t="shared" si="8"/>
        <v>0</v>
      </c>
      <c r="K35" s="324">
        <f t="shared" si="9"/>
        <v>0</v>
      </c>
      <c r="L35" s="338">
        <v>0</v>
      </c>
      <c r="M35" s="685">
        <f t="shared" si="7"/>
        <v>0</v>
      </c>
      <c r="N35" s="685">
        <f t="shared" si="10"/>
        <v>0</v>
      </c>
      <c r="O35" s="324">
        <f t="shared" si="11"/>
        <v>0</v>
      </c>
      <c r="P35" s="2"/>
      <c r="Q35" s="4"/>
      <c r="R35" s="2"/>
      <c r="S35" s="2"/>
    </row>
    <row r="36" spans="1:19" s="311" customFormat="1">
      <c r="A36" s="343">
        <f t="shared" si="2"/>
        <v>26</v>
      </c>
      <c r="B36" s="285" t="s">
        <v>1223</v>
      </c>
      <c r="C36" s="322">
        <f t="shared" si="3"/>
        <v>0</v>
      </c>
      <c r="D36" s="322">
        <f t="shared" si="4"/>
        <v>0</v>
      </c>
      <c r="E36" s="322">
        <f t="shared" si="5"/>
        <v>0</v>
      </c>
      <c r="F36" s="354"/>
      <c r="G36" s="343"/>
      <c r="H36" s="338">
        <v>0</v>
      </c>
      <c r="I36" s="685">
        <f t="shared" si="6"/>
        <v>0</v>
      </c>
      <c r="J36" s="685">
        <f t="shared" si="8"/>
        <v>0</v>
      </c>
      <c r="K36" s="324">
        <f t="shared" si="9"/>
        <v>0</v>
      </c>
      <c r="L36" s="338">
        <v>0</v>
      </c>
      <c r="M36" s="685">
        <f t="shared" si="7"/>
        <v>0</v>
      </c>
      <c r="N36" s="685">
        <f t="shared" si="10"/>
        <v>0</v>
      </c>
      <c r="O36" s="324">
        <f t="shared" si="11"/>
        <v>0</v>
      </c>
      <c r="P36" s="2"/>
      <c r="Q36" s="4"/>
      <c r="R36" s="2"/>
      <c r="S36" s="2"/>
    </row>
    <row r="37" spans="1:19" s="311" customFormat="1">
      <c r="A37" s="343">
        <f t="shared" si="2"/>
        <v>27</v>
      </c>
      <c r="B37" s="285" t="s">
        <v>1223</v>
      </c>
      <c r="C37" s="322">
        <f t="shared" si="3"/>
        <v>0</v>
      </c>
      <c r="D37" s="322">
        <f t="shared" si="4"/>
        <v>0</v>
      </c>
      <c r="E37" s="322">
        <f t="shared" si="5"/>
        <v>0</v>
      </c>
      <c r="F37" s="354"/>
      <c r="G37" s="343"/>
      <c r="H37" s="338">
        <v>0</v>
      </c>
      <c r="I37" s="685">
        <f t="shared" si="6"/>
        <v>0</v>
      </c>
      <c r="J37" s="685">
        <f t="shared" si="8"/>
        <v>0</v>
      </c>
      <c r="K37" s="324">
        <f t="shared" si="9"/>
        <v>0</v>
      </c>
      <c r="L37" s="338">
        <v>0</v>
      </c>
      <c r="M37" s="685">
        <f t="shared" si="7"/>
        <v>0</v>
      </c>
      <c r="N37" s="685">
        <f t="shared" si="10"/>
        <v>0</v>
      </c>
      <c r="O37" s="324">
        <f t="shared" si="11"/>
        <v>0</v>
      </c>
      <c r="P37" s="2"/>
      <c r="Q37" s="4"/>
      <c r="R37" s="2"/>
      <c r="S37" s="2"/>
    </row>
    <row r="38" spans="1:19" s="311" customFormat="1">
      <c r="A38" s="343">
        <f t="shared" si="2"/>
        <v>28</v>
      </c>
      <c r="B38" s="285" t="s">
        <v>1223</v>
      </c>
      <c r="C38" s="322">
        <f t="shared" si="3"/>
        <v>0</v>
      </c>
      <c r="D38" s="322">
        <f t="shared" si="4"/>
        <v>0</v>
      </c>
      <c r="E38" s="322">
        <f t="shared" si="5"/>
        <v>0</v>
      </c>
      <c r="F38" s="354"/>
      <c r="G38" s="343"/>
      <c r="H38" s="338">
        <v>0</v>
      </c>
      <c r="I38" s="685">
        <f t="shared" si="6"/>
        <v>0</v>
      </c>
      <c r="J38" s="685">
        <f t="shared" si="8"/>
        <v>0</v>
      </c>
      <c r="K38" s="324">
        <f t="shared" si="9"/>
        <v>0</v>
      </c>
      <c r="L38" s="338">
        <v>0</v>
      </c>
      <c r="M38" s="685">
        <f t="shared" si="7"/>
        <v>0</v>
      </c>
      <c r="N38" s="685">
        <f t="shared" si="10"/>
        <v>0</v>
      </c>
      <c r="O38" s="324">
        <f t="shared" si="11"/>
        <v>0</v>
      </c>
      <c r="P38" s="2"/>
      <c r="Q38" s="4"/>
      <c r="R38" s="2"/>
      <c r="S38" s="2"/>
    </row>
    <row r="39" spans="1:19" s="311" customFormat="1">
      <c r="A39" s="343">
        <f t="shared" si="2"/>
        <v>29</v>
      </c>
      <c r="B39" s="285" t="s">
        <v>1223</v>
      </c>
      <c r="C39" s="322">
        <f t="shared" si="3"/>
        <v>0</v>
      </c>
      <c r="D39" s="322">
        <f t="shared" si="4"/>
        <v>0</v>
      </c>
      <c r="E39" s="322">
        <f t="shared" si="5"/>
        <v>0</v>
      </c>
      <c r="F39" s="354"/>
      <c r="G39" s="343"/>
      <c r="H39" s="338">
        <v>0</v>
      </c>
      <c r="I39" s="685">
        <f t="shared" si="6"/>
        <v>0</v>
      </c>
      <c r="J39" s="685">
        <f t="shared" si="8"/>
        <v>0</v>
      </c>
      <c r="K39" s="324">
        <f t="shared" si="9"/>
        <v>0</v>
      </c>
      <c r="L39" s="338">
        <v>0</v>
      </c>
      <c r="M39" s="685">
        <f t="shared" si="7"/>
        <v>0</v>
      </c>
      <c r="N39" s="685">
        <f t="shared" si="10"/>
        <v>0</v>
      </c>
      <c r="O39" s="324">
        <f t="shared" si="11"/>
        <v>0</v>
      </c>
      <c r="P39" s="2"/>
      <c r="Q39" s="4"/>
      <c r="R39" s="2"/>
      <c r="S39" s="2"/>
    </row>
    <row r="40" spans="1:19" s="311" customFormat="1">
      <c r="A40" s="343">
        <f t="shared" si="2"/>
        <v>30</v>
      </c>
      <c r="B40" s="285" t="s">
        <v>1223</v>
      </c>
      <c r="C40" s="322">
        <f t="shared" si="3"/>
        <v>0</v>
      </c>
      <c r="D40" s="322">
        <f t="shared" si="4"/>
        <v>0</v>
      </c>
      <c r="E40" s="322">
        <f t="shared" si="5"/>
        <v>0</v>
      </c>
      <c r="F40" s="354"/>
      <c r="G40" s="343"/>
      <c r="H40" s="338">
        <v>0</v>
      </c>
      <c r="I40" s="685">
        <f t="shared" si="6"/>
        <v>0</v>
      </c>
      <c r="J40" s="685">
        <f t="shared" si="8"/>
        <v>0</v>
      </c>
      <c r="K40" s="324">
        <f t="shared" si="9"/>
        <v>0</v>
      </c>
      <c r="L40" s="338">
        <v>0</v>
      </c>
      <c r="M40" s="685">
        <f t="shared" si="7"/>
        <v>0</v>
      </c>
      <c r="N40" s="685">
        <f t="shared" si="10"/>
        <v>0</v>
      </c>
      <c r="O40" s="324">
        <f t="shared" si="11"/>
        <v>0</v>
      </c>
      <c r="P40" s="2"/>
      <c r="Q40" s="4"/>
      <c r="R40" s="2"/>
      <c r="S40" s="2"/>
    </row>
    <row r="41" spans="1:19" s="311" customFormat="1">
      <c r="A41" s="343">
        <f t="shared" si="2"/>
        <v>31</v>
      </c>
      <c r="B41" s="285" t="s">
        <v>1223</v>
      </c>
      <c r="C41" s="322">
        <f t="shared" si="3"/>
        <v>0</v>
      </c>
      <c r="D41" s="322">
        <f t="shared" si="4"/>
        <v>0</v>
      </c>
      <c r="E41" s="322">
        <f t="shared" si="5"/>
        <v>0</v>
      </c>
      <c r="F41" s="354"/>
      <c r="G41" s="343"/>
      <c r="H41" s="338">
        <v>0</v>
      </c>
      <c r="I41" s="685">
        <f t="shared" si="6"/>
        <v>0</v>
      </c>
      <c r="J41" s="685">
        <f t="shared" si="8"/>
        <v>0</v>
      </c>
      <c r="K41" s="324">
        <f t="shared" si="9"/>
        <v>0</v>
      </c>
      <c r="L41" s="338">
        <v>0</v>
      </c>
      <c r="M41" s="685">
        <f t="shared" si="7"/>
        <v>0</v>
      </c>
      <c r="N41" s="685">
        <f t="shared" si="10"/>
        <v>0</v>
      </c>
      <c r="O41" s="324">
        <f t="shared" si="11"/>
        <v>0</v>
      </c>
      <c r="P41" s="2"/>
      <c r="Q41" s="4"/>
      <c r="R41" s="2"/>
      <c r="S41" s="2"/>
    </row>
    <row r="42" spans="1:19" s="311" customFormat="1">
      <c r="A42" s="343">
        <f t="shared" si="2"/>
        <v>32</v>
      </c>
      <c r="B42" s="285" t="s">
        <v>1223</v>
      </c>
      <c r="C42" s="322">
        <f t="shared" si="3"/>
        <v>0</v>
      </c>
      <c r="D42" s="322">
        <f t="shared" si="4"/>
        <v>0</v>
      </c>
      <c r="E42" s="322">
        <f t="shared" si="5"/>
        <v>0</v>
      </c>
      <c r="F42" s="354"/>
      <c r="G42" s="343"/>
      <c r="H42" s="338">
        <v>0</v>
      </c>
      <c r="I42" s="685">
        <f t="shared" si="6"/>
        <v>0</v>
      </c>
      <c r="J42" s="685">
        <f t="shared" si="8"/>
        <v>0</v>
      </c>
      <c r="K42" s="324">
        <f t="shared" si="9"/>
        <v>0</v>
      </c>
      <c r="L42" s="338">
        <v>0</v>
      </c>
      <c r="M42" s="685">
        <f t="shared" si="7"/>
        <v>0</v>
      </c>
      <c r="N42" s="685">
        <f t="shared" si="10"/>
        <v>0</v>
      </c>
      <c r="O42" s="324">
        <f t="shared" si="11"/>
        <v>0</v>
      </c>
      <c r="P42" s="2"/>
      <c r="Q42" s="4"/>
      <c r="R42" s="2"/>
      <c r="S42" s="2"/>
    </row>
    <row r="43" spans="1:19" s="311" customFormat="1">
      <c r="A43" s="343"/>
      <c r="B43" s="343"/>
      <c r="G43" s="343"/>
      <c r="H43" s="358"/>
      <c r="I43" s="330"/>
      <c r="J43" s="330"/>
      <c r="K43" s="361"/>
      <c r="L43" s="363"/>
      <c r="M43" s="330"/>
      <c r="N43" s="330"/>
      <c r="O43" s="364"/>
      <c r="P43" s="2"/>
      <c r="Q43" s="4"/>
      <c r="R43" s="2"/>
      <c r="S43" s="2"/>
    </row>
    <row r="44" spans="1:19" s="311" customFormat="1">
      <c r="A44" s="343">
        <v>33</v>
      </c>
      <c r="B44" s="279" t="s">
        <v>488</v>
      </c>
      <c r="C44" s="286"/>
      <c r="D44" s="289">
        <f>SUM(D31:D42)</f>
        <v>0</v>
      </c>
      <c r="E44" s="286"/>
      <c r="G44" s="343"/>
      <c r="H44" s="357"/>
      <c r="I44" s="289">
        <f>SUM(I31:I42)</f>
        <v>0</v>
      </c>
      <c r="J44" s="287"/>
      <c r="K44" s="361"/>
      <c r="L44" s="357"/>
      <c r="M44" s="289">
        <f>SUM(M31:M42)</f>
        <v>0</v>
      </c>
      <c r="N44" s="287"/>
      <c r="O44" s="364"/>
      <c r="P44" s="2"/>
      <c r="Q44" s="4"/>
      <c r="R44" s="2"/>
      <c r="S44" s="2"/>
    </row>
    <row r="45" spans="1:19" s="311" customFormat="1">
      <c r="A45" s="343">
        <v>34</v>
      </c>
      <c r="B45" s="279" t="s">
        <v>489</v>
      </c>
      <c r="C45" s="286">
        <f>SUM(C30:C42)/13</f>
        <v>0</v>
      </c>
      <c r="D45" s="291"/>
      <c r="E45" s="286">
        <f>SUM(E30:E42)/13</f>
        <v>0</v>
      </c>
      <c r="G45" s="343"/>
      <c r="H45" s="357">
        <f>SUM(H30:H42)/13</f>
        <v>0</v>
      </c>
      <c r="I45" s="291"/>
      <c r="J45" s="287">
        <f>SUM(J30:J42)/13</f>
        <v>0</v>
      </c>
      <c r="K45" s="288">
        <f>SUM(K30:K42)/13</f>
        <v>0</v>
      </c>
      <c r="L45" s="357">
        <f>SUM(L30:L42)/13</f>
        <v>0</v>
      </c>
      <c r="M45" s="291"/>
      <c r="N45" s="287">
        <f>SUM(N30:N42)/13</f>
        <v>0</v>
      </c>
      <c r="O45" s="288">
        <f>SUM(O30:O42)/13</f>
        <v>0</v>
      </c>
      <c r="P45" s="2"/>
      <c r="Q45" s="4"/>
      <c r="R45" s="2"/>
      <c r="S45" s="2"/>
    </row>
    <row r="46" spans="1:19" s="311" customFormat="1" ht="14.4" thickBot="1">
      <c r="A46" s="320"/>
      <c r="B46" s="279"/>
      <c r="G46" s="343"/>
      <c r="H46" s="358"/>
      <c r="I46" s="330"/>
      <c r="J46" s="330"/>
      <c r="K46" s="361"/>
      <c r="L46" s="363"/>
      <c r="M46" s="330"/>
      <c r="N46" s="330"/>
      <c r="O46" s="364"/>
      <c r="P46" s="2"/>
      <c r="Q46" s="4"/>
      <c r="R46" s="2"/>
      <c r="S46" s="2"/>
    </row>
    <row r="47" spans="1:19" s="311" customFormat="1" ht="14.4" thickBot="1">
      <c r="A47" s="343">
        <v>35</v>
      </c>
      <c r="B47" s="279" t="s">
        <v>723</v>
      </c>
      <c r="F47" s="365">
        <f>O47+K47</f>
        <v>0</v>
      </c>
      <c r="G47" s="343"/>
      <c r="H47" s="358"/>
      <c r="I47" s="330"/>
      <c r="J47" s="279"/>
      <c r="K47" s="314">
        <f>ROUND(K45*I11,2)</f>
        <v>0</v>
      </c>
      <c r="L47" s="363"/>
      <c r="M47" s="330"/>
      <c r="N47" s="279"/>
      <c r="O47" s="314">
        <f>ROUND(O45*M11,2)</f>
        <v>0</v>
      </c>
      <c r="P47" s="2"/>
      <c r="Q47" s="4"/>
      <c r="R47" s="2"/>
      <c r="S47" s="2"/>
    </row>
    <row r="48" spans="1:19" s="311" customFormat="1">
      <c r="A48" s="343"/>
      <c r="F48" s="311" t="s">
        <v>948</v>
      </c>
      <c r="G48" s="343"/>
      <c r="H48" s="730"/>
      <c r="J48" s="279"/>
      <c r="K48" s="731" t="s">
        <v>948</v>
      </c>
      <c r="L48" s="732"/>
      <c r="N48" s="279"/>
      <c r="O48" s="733" t="s">
        <v>948</v>
      </c>
      <c r="P48" s="2"/>
      <c r="Q48" s="4"/>
      <c r="R48" s="2"/>
      <c r="S48" s="2"/>
    </row>
    <row r="49" spans="1:19" s="311" customFormat="1">
      <c r="A49" s="320"/>
      <c r="B49" s="343"/>
      <c r="G49" s="343"/>
      <c r="H49" s="325"/>
      <c r="I49" s="326"/>
      <c r="J49" s="326"/>
      <c r="K49" s="362"/>
      <c r="L49" s="327"/>
      <c r="M49" s="326"/>
      <c r="N49" s="326"/>
      <c r="O49" s="329"/>
      <c r="P49" s="2"/>
      <c r="Q49" s="4"/>
      <c r="R49" s="2"/>
      <c r="S49" s="2"/>
    </row>
    <row r="50" spans="1:19" s="311" customFormat="1">
      <c r="A50" s="345" t="s">
        <v>174</v>
      </c>
      <c r="B50" s="343"/>
      <c r="G50" s="343"/>
      <c r="H50" s="330"/>
      <c r="I50" s="330"/>
      <c r="J50" s="330"/>
      <c r="K50" s="330"/>
      <c r="L50" s="331"/>
      <c r="M50" s="330"/>
      <c r="N50" s="330"/>
      <c r="O50" s="332"/>
      <c r="P50" s="2"/>
      <c r="Q50" s="4"/>
      <c r="R50" s="2"/>
      <c r="S50" s="2"/>
    </row>
    <row r="51" spans="1:19" s="311" customFormat="1">
      <c r="A51" s="320" t="s">
        <v>79</v>
      </c>
      <c r="B51" s="344" t="s">
        <v>698</v>
      </c>
      <c r="G51" s="343"/>
      <c r="H51" s="330"/>
      <c r="I51" s="330"/>
      <c r="J51" s="330"/>
      <c r="K51" s="330"/>
      <c r="L51" s="331"/>
      <c r="M51" s="330"/>
      <c r="N51" s="330"/>
      <c r="O51" s="332"/>
      <c r="P51" s="2"/>
      <c r="Q51" s="4"/>
      <c r="R51" s="2"/>
      <c r="S51" s="2"/>
    </row>
    <row r="52" spans="1:19" s="16" customFormat="1" ht="15" customHeight="1">
      <c r="A52" s="320" t="s">
        <v>80</v>
      </c>
      <c r="B52" s="344" t="s">
        <v>699</v>
      </c>
      <c r="C52" s="46"/>
      <c r="D52" s="46"/>
      <c r="E52" s="46"/>
      <c r="F52" s="46"/>
      <c r="G52" s="342"/>
      <c r="H52" s="2"/>
      <c r="I52" s="2"/>
      <c r="J52" s="2"/>
      <c r="P52" s="2"/>
      <c r="Q52" s="4"/>
      <c r="R52" s="2"/>
      <c r="S52" s="2"/>
    </row>
    <row r="53" spans="1:19" s="16" customFormat="1" ht="15" customHeight="1">
      <c r="A53" s="320" t="s">
        <v>81</v>
      </c>
      <c r="B53" s="344" t="s">
        <v>950</v>
      </c>
      <c r="C53" s="46"/>
      <c r="D53" s="46"/>
      <c r="E53" s="46"/>
      <c r="F53" s="46"/>
      <c r="G53" s="342"/>
      <c r="H53" s="2"/>
      <c r="I53" s="2"/>
      <c r="J53" s="2"/>
      <c r="P53" s="2"/>
      <c r="Q53" s="4"/>
      <c r="R53" s="2"/>
      <c r="S53" s="2"/>
    </row>
    <row r="54" spans="1:19" ht="15" customHeight="1">
      <c r="A54" s="320" t="s">
        <v>82</v>
      </c>
      <c r="B54" s="344" t="s">
        <v>1127</v>
      </c>
      <c r="C54" s="46"/>
      <c r="D54" s="46"/>
      <c r="E54" s="46"/>
      <c r="F54" s="46"/>
      <c r="G54" s="342"/>
    </row>
    <row r="55" spans="1:19" ht="15" customHeight="1">
      <c r="A55" s="44"/>
      <c r="B55" s="45"/>
      <c r="C55" s="46"/>
      <c r="D55" s="46"/>
      <c r="E55" s="46"/>
      <c r="F55" s="46"/>
      <c r="G55" s="342"/>
    </row>
    <row r="56" spans="1:19" ht="15" customHeight="1">
      <c r="A56" s="44"/>
      <c r="B56" s="45"/>
      <c r="C56" s="46"/>
      <c r="D56" s="46"/>
      <c r="E56" s="46"/>
      <c r="F56" s="46"/>
      <c r="G56" s="342"/>
    </row>
    <row r="57" spans="1:19" ht="15" customHeight="1">
      <c r="A57" s="44"/>
      <c r="B57" s="45"/>
      <c r="C57" s="46"/>
      <c r="D57" s="46"/>
      <c r="E57" s="46"/>
      <c r="F57" s="46"/>
      <c r="G57" s="342"/>
    </row>
    <row r="58" spans="1:19" ht="15" customHeight="1">
      <c r="A58" s="44"/>
      <c r="B58" s="45"/>
      <c r="C58" s="46"/>
      <c r="D58" s="46"/>
      <c r="E58" s="46"/>
      <c r="F58" s="46"/>
      <c r="G58" s="342"/>
    </row>
    <row r="59" spans="1:19" ht="15" customHeight="1">
      <c r="A59" s="44"/>
      <c r="B59" s="45"/>
      <c r="C59" s="46"/>
      <c r="D59" s="46"/>
      <c r="E59" s="46"/>
      <c r="F59" s="46"/>
      <c r="G59" s="342"/>
    </row>
    <row r="60" spans="1:19">
      <c r="A60" s="44"/>
      <c r="B60" s="45"/>
      <c r="C60" s="46"/>
      <c r="D60" s="46"/>
      <c r="E60" s="46"/>
      <c r="F60" s="46"/>
      <c r="G60" s="342"/>
    </row>
    <row r="61" spans="1:19">
      <c r="A61" s="44"/>
      <c r="B61" s="45"/>
      <c r="C61" s="46"/>
      <c r="D61" s="46"/>
      <c r="E61" s="46"/>
      <c r="F61" s="46"/>
      <c r="G61" s="342"/>
    </row>
    <row r="62" spans="1:19">
      <c r="A62" s="44"/>
      <c r="B62" s="45"/>
      <c r="C62" s="46"/>
      <c r="D62" s="46"/>
      <c r="E62" s="46"/>
      <c r="F62" s="46"/>
      <c r="G62" s="342"/>
    </row>
    <row r="63" spans="1:19">
      <c r="A63" s="44"/>
      <c r="B63" s="45"/>
      <c r="C63" s="46"/>
      <c r="D63" s="46"/>
      <c r="E63" s="46"/>
      <c r="F63" s="46"/>
      <c r="G63" s="342"/>
    </row>
    <row r="64" spans="1:19">
      <c r="A64" s="44"/>
      <c r="B64" s="45"/>
      <c r="C64" s="46"/>
      <c r="D64" s="46"/>
      <c r="E64" s="46"/>
      <c r="F64" s="46"/>
      <c r="G64" s="342"/>
    </row>
    <row r="65" spans="1:7">
      <c r="A65" s="44"/>
      <c r="B65" s="45"/>
      <c r="C65" s="46"/>
      <c r="D65" s="46"/>
      <c r="E65" s="46"/>
      <c r="F65" s="46"/>
      <c r="G65" s="342"/>
    </row>
    <row r="66" spans="1:7">
      <c r="A66" s="44"/>
      <c r="B66" s="45"/>
      <c r="C66" s="46"/>
      <c r="D66" s="46"/>
      <c r="E66" s="46"/>
      <c r="F66" s="46"/>
      <c r="G66" s="342"/>
    </row>
    <row r="67" spans="1:7">
      <c r="A67" s="44"/>
      <c r="B67" s="45"/>
      <c r="C67" s="46"/>
      <c r="D67" s="46"/>
      <c r="E67" s="46"/>
      <c r="F67" s="46"/>
      <c r="G67" s="342"/>
    </row>
    <row r="68" spans="1:7">
      <c r="A68" s="44"/>
      <c r="B68" s="45"/>
      <c r="C68" s="46"/>
      <c r="D68" s="46"/>
      <c r="E68" s="46"/>
      <c r="F68" s="46"/>
      <c r="G68" s="342"/>
    </row>
    <row r="69" spans="1:7">
      <c r="A69" s="44"/>
      <c r="B69" s="45"/>
      <c r="C69" s="46"/>
      <c r="D69" s="46"/>
      <c r="E69" s="46"/>
      <c r="F69" s="46"/>
      <c r="G69" s="342"/>
    </row>
    <row r="70" spans="1:7">
      <c r="A70" s="44"/>
      <c r="B70" s="45"/>
      <c r="C70" s="46"/>
      <c r="D70" s="46"/>
      <c r="E70" s="46"/>
      <c r="F70" s="46"/>
      <c r="G70" s="342"/>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4"/>
    </row>
    <row r="130" spans="11:15" ht="15" customHeight="1">
      <c r="K130" s="304"/>
      <c r="L130" s="6"/>
    </row>
    <row r="131" spans="11:15" ht="30.75" customHeight="1">
      <c r="K131" s="47"/>
    </row>
    <row r="132" spans="11:15">
      <c r="K132" s="47"/>
    </row>
    <row r="133" spans="11:15">
      <c r="K133" s="48"/>
      <c r="L133" s="48"/>
      <c r="M133" s="48"/>
      <c r="N133" s="48"/>
    </row>
    <row r="135" spans="11:15" ht="30.75" customHeight="1">
      <c r="K135" s="305"/>
      <c r="L135" s="305"/>
      <c r="M135" s="305"/>
      <c r="N135" s="305"/>
      <c r="O135" s="305"/>
    </row>
    <row r="136" spans="11:15" ht="15" customHeight="1">
      <c r="K136" s="305"/>
    </row>
    <row r="137" spans="11:15" ht="82.5" customHeight="1">
      <c r="K137" s="305"/>
      <c r="L137" s="305"/>
      <c r="M137" s="305"/>
      <c r="N137" s="305"/>
      <c r="O137" s="305"/>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7" sqref="A177"/>
    </sheetView>
  </sheetViews>
  <sheetFormatPr defaultColWidth="8.7265625" defaultRowHeight="13.2"/>
  <cols>
    <col min="1" max="1" width="5.26953125" style="609" customWidth="1"/>
    <col min="2" max="2" width="9.08984375" style="609" customWidth="1"/>
    <col min="3" max="4" width="7.54296875" style="609" customWidth="1"/>
    <col min="5" max="5" width="8.7265625" style="609" customWidth="1"/>
    <col min="6" max="6" width="7.54296875" style="609" customWidth="1"/>
    <col min="7" max="7" width="2.08984375" style="609" customWidth="1"/>
    <col min="8" max="9" width="11.453125" style="609" customWidth="1"/>
    <col min="10" max="10" width="13.453125" style="609" customWidth="1"/>
    <col min="11" max="11" width="1.453125" style="611" customWidth="1"/>
    <col min="12" max="13" width="10.26953125" style="609" bestFit="1" customWidth="1"/>
    <col min="14" max="14" width="10.7265625" style="609" bestFit="1" customWidth="1"/>
    <col min="15" max="16384" width="8.7265625" style="609"/>
  </cols>
  <sheetData>
    <row r="1" spans="1:11" s="608" customFormat="1">
      <c r="A1" s="784" t="s">
        <v>860</v>
      </c>
      <c r="B1" s="784"/>
      <c r="C1" s="784"/>
      <c r="D1" s="784"/>
      <c r="E1" s="784"/>
      <c r="F1" s="784"/>
      <c r="G1" s="784"/>
      <c r="H1" s="784"/>
      <c r="I1" s="784"/>
      <c r="J1" s="784"/>
      <c r="K1" s="784"/>
    </row>
    <row r="2" spans="1:11" s="608" customFormat="1">
      <c r="A2" s="784" t="s">
        <v>204</v>
      </c>
      <c r="B2" s="784"/>
      <c r="C2" s="784"/>
      <c r="D2" s="784"/>
      <c r="E2" s="784"/>
      <c r="F2" s="784"/>
      <c r="G2" s="784"/>
      <c r="H2" s="784"/>
      <c r="I2" s="784"/>
      <c r="J2" s="784"/>
      <c r="K2" s="784"/>
    </row>
    <row r="3" spans="1:11" s="608" customFormat="1">
      <c r="A3" s="785" t="s">
        <v>130</v>
      </c>
      <c r="B3" s="785"/>
      <c r="C3" s="785"/>
      <c r="D3" s="785"/>
      <c r="E3" s="785"/>
      <c r="F3" s="785"/>
      <c r="G3" s="785"/>
      <c r="H3" s="785"/>
      <c r="I3" s="785"/>
      <c r="J3" s="785"/>
      <c r="K3" s="785"/>
    </row>
    <row r="4" spans="1:11" s="608" customFormat="1">
      <c r="A4" s="607"/>
      <c r="B4" s="607"/>
      <c r="C4" s="607"/>
      <c r="D4" s="607"/>
      <c r="E4" s="607"/>
      <c r="F4" s="607"/>
      <c r="G4" s="607"/>
      <c r="H4" s="607"/>
      <c r="I4" s="607"/>
      <c r="J4" s="558" t="s">
        <v>983</v>
      </c>
    </row>
    <row r="5" spans="1:11">
      <c r="I5" s="610" t="s">
        <v>834</v>
      </c>
      <c r="J5" s="747" t="s">
        <v>1224</v>
      </c>
    </row>
    <row r="6" spans="1:11">
      <c r="A6" s="609">
        <v>1</v>
      </c>
      <c r="B6" s="612" t="s">
        <v>835</v>
      </c>
      <c r="H6" s="613"/>
      <c r="I6" s="613"/>
      <c r="J6" s="613"/>
      <c r="K6" s="614"/>
    </row>
    <row r="7" spans="1:11">
      <c r="A7" s="609">
        <f>+A6+1</f>
        <v>2</v>
      </c>
      <c r="B7" s="827" t="s">
        <v>836</v>
      </c>
      <c r="C7" s="828"/>
      <c r="D7" s="828"/>
      <c r="E7" s="828"/>
      <c r="F7" s="829"/>
      <c r="G7" s="615"/>
      <c r="H7" s="827" t="s">
        <v>837</v>
      </c>
      <c r="I7" s="828"/>
      <c r="J7" s="829"/>
      <c r="K7" s="614"/>
    </row>
    <row r="8" spans="1:11">
      <c r="B8" s="616" t="s">
        <v>79</v>
      </c>
      <c r="C8" s="616" t="s">
        <v>80</v>
      </c>
      <c r="D8" s="616" t="s">
        <v>81</v>
      </c>
      <c r="E8" s="616" t="s">
        <v>82</v>
      </c>
      <c r="F8" s="616" t="s">
        <v>83</v>
      </c>
      <c r="G8" s="615"/>
      <c r="H8" s="616" t="s">
        <v>84</v>
      </c>
      <c r="I8" s="616" t="s">
        <v>85</v>
      </c>
      <c r="J8" s="616" t="s">
        <v>449</v>
      </c>
      <c r="K8" s="614"/>
    </row>
    <row r="9" spans="1:11" ht="52.8">
      <c r="A9" s="609">
        <f>+A7+1</f>
        <v>3</v>
      </c>
      <c r="B9" s="617" t="s">
        <v>268</v>
      </c>
      <c r="C9" s="617" t="s">
        <v>838</v>
      </c>
      <c r="D9" s="617" t="s">
        <v>839</v>
      </c>
      <c r="E9" s="617" t="s">
        <v>840</v>
      </c>
      <c r="F9" s="617" t="s">
        <v>841</v>
      </c>
      <c r="G9" s="618"/>
      <c r="H9" s="617" t="s">
        <v>842</v>
      </c>
      <c r="I9" s="617" t="s">
        <v>843</v>
      </c>
      <c r="J9" s="617" t="s">
        <v>844</v>
      </c>
      <c r="K9" s="618"/>
    </row>
    <row r="10" spans="1:11">
      <c r="A10" s="609">
        <f t="shared" ref="A10:A24" si="0">+A9+1</f>
        <v>4</v>
      </c>
      <c r="C10" s="618"/>
      <c r="D10" s="618"/>
      <c r="E10" s="618"/>
      <c r="F10" s="618"/>
      <c r="G10" s="618"/>
      <c r="H10" s="618"/>
      <c r="I10" s="618"/>
      <c r="J10" s="618"/>
      <c r="K10" s="618"/>
    </row>
    <row r="11" spans="1:11">
      <c r="A11" s="609">
        <f t="shared" si="0"/>
        <v>5</v>
      </c>
      <c r="B11" s="619" t="s">
        <v>845</v>
      </c>
      <c r="C11" s="620"/>
      <c r="D11" s="621"/>
      <c r="E11" s="621"/>
      <c r="F11" s="621"/>
      <c r="G11" s="621"/>
      <c r="H11" s="622"/>
      <c r="I11" s="622"/>
      <c r="J11" s="623">
        <v>0</v>
      </c>
      <c r="K11" s="624"/>
    </row>
    <row r="12" spans="1:11">
      <c r="A12" s="609">
        <f t="shared" si="0"/>
        <v>6</v>
      </c>
      <c r="B12" s="620" t="s">
        <v>165</v>
      </c>
      <c r="C12" s="625">
        <v>31</v>
      </c>
      <c r="D12" s="748">
        <v>0</v>
      </c>
      <c r="E12" s="748">
        <v>0</v>
      </c>
      <c r="F12" s="556">
        <f>IF(E12=0,0,D12/E12)</f>
        <v>0</v>
      </c>
      <c r="G12" s="552"/>
      <c r="H12" s="623">
        <f>-H152*0.21</f>
        <v>-20949.039999999997</v>
      </c>
      <c r="I12" s="585">
        <f>+H12*F12</f>
        <v>0</v>
      </c>
      <c r="J12" s="585">
        <f t="shared" ref="J12:J23" si="1">+I12+J11</f>
        <v>0</v>
      </c>
      <c r="K12" s="624"/>
    </row>
    <row r="13" spans="1:11">
      <c r="A13" s="609">
        <f t="shared" si="0"/>
        <v>7</v>
      </c>
      <c r="B13" s="620" t="s">
        <v>166</v>
      </c>
      <c r="C13" s="626">
        <v>28</v>
      </c>
      <c r="D13" s="748">
        <v>0</v>
      </c>
      <c r="E13" s="748">
        <v>0</v>
      </c>
      <c r="F13" s="556">
        <f t="shared" ref="F13:F23" si="2">IF(E13=0,0,D13/E13)</f>
        <v>0</v>
      </c>
      <c r="G13" s="552"/>
      <c r="H13" s="623">
        <f t="shared" ref="H13:H23" si="3">-H153*0.21</f>
        <v>-20949.039999999997</v>
      </c>
      <c r="I13" s="585">
        <f t="shared" ref="I13:I23" si="4">+H13*F13</f>
        <v>0</v>
      </c>
      <c r="J13" s="585">
        <f t="shared" si="1"/>
        <v>0</v>
      </c>
      <c r="K13" s="624"/>
    </row>
    <row r="14" spans="1:11">
      <c r="A14" s="609">
        <f t="shared" si="0"/>
        <v>8</v>
      </c>
      <c r="B14" s="620" t="s">
        <v>516</v>
      </c>
      <c r="C14" s="625">
        <v>31</v>
      </c>
      <c r="D14" s="748">
        <v>0</v>
      </c>
      <c r="E14" s="748">
        <v>0</v>
      </c>
      <c r="F14" s="556">
        <f t="shared" si="2"/>
        <v>0</v>
      </c>
      <c r="G14" s="552"/>
      <c r="H14" s="623">
        <f t="shared" si="3"/>
        <v>-20949.039999999997</v>
      </c>
      <c r="I14" s="585">
        <f t="shared" si="4"/>
        <v>0</v>
      </c>
      <c r="J14" s="585">
        <f t="shared" si="1"/>
        <v>0</v>
      </c>
      <c r="K14" s="624"/>
    </row>
    <row r="15" spans="1:11">
      <c r="A15" s="609">
        <f t="shared" si="0"/>
        <v>9</v>
      </c>
      <c r="B15" s="620" t="s">
        <v>167</v>
      </c>
      <c r="C15" s="625">
        <v>30</v>
      </c>
      <c r="D15" s="748">
        <v>0</v>
      </c>
      <c r="E15" s="748">
        <v>0</v>
      </c>
      <c r="F15" s="556">
        <f t="shared" si="2"/>
        <v>0</v>
      </c>
      <c r="G15" s="552"/>
      <c r="H15" s="623">
        <f t="shared" si="3"/>
        <v>-20949.039999999997</v>
      </c>
      <c r="I15" s="585">
        <f t="shared" si="4"/>
        <v>0</v>
      </c>
      <c r="J15" s="585">
        <f t="shared" si="1"/>
        <v>0</v>
      </c>
      <c r="K15" s="624"/>
    </row>
    <row r="16" spans="1:11">
      <c r="A16" s="609">
        <f t="shared" si="0"/>
        <v>10</v>
      </c>
      <c r="B16" s="620" t="s">
        <v>168</v>
      </c>
      <c r="C16" s="625">
        <v>31</v>
      </c>
      <c r="D16" s="748">
        <v>0</v>
      </c>
      <c r="E16" s="748">
        <v>0</v>
      </c>
      <c r="F16" s="556">
        <f t="shared" si="2"/>
        <v>0</v>
      </c>
      <c r="G16" s="552"/>
      <c r="H16" s="623">
        <f t="shared" si="3"/>
        <v>-20949.039999999997</v>
      </c>
      <c r="I16" s="585">
        <f t="shared" si="4"/>
        <v>0</v>
      </c>
      <c r="J16" s="585">
        <f t="shared" si="1"/>
        <v>0</v>
      </c>
      <c r="K16" s="624"/>
    </row>
    <row r="17" spans="1:14">
      <c r="A17" s="609">
        <f t="shared" si="0"/>
        <v>11</v>
      </c>
      <c r="B17" s="620" t="s">
        <v>169</v>
      </c>
      <c r="C17" s="625">
        <v>30</v>
      </c>
      <c r="D17" s="748">
        <v>0</v>
      </c>
      <c r="E17" s="748">
        <v>0</v>
      </c>
      <c r="F17" s="556">
        <f t="shared" si="2"/>
        <v>0</v>
      </c>
      <c r="G17" s="552"/>
      <c r="H17" s="623">
        <f t="shared" si="3"/>
        <v>-20949.039999999997</v>
      </c>
      <c r="I17" s="585">
        <f t="shared" si="4"/>
        <v>0</v>
      </c>
      <c r="J17" s="585">
        <f t="shared" si="1"/>
        <v>0</v>
      </c>
      <c r="K17" s="624"/>
    </row>
    <row r="18" spans="1:14">
      <c r="A18" s="609">
        <f t="shared" si="0"/>
        <v>12</v>
      </c>
      <c r="B18" s="620" t="s">
        <v>170</v>
      </c>
      <c r="C18" s="625">
        <v>31</v>
      </c>
      <c r="D18" s="748">
        <v>0</v>
      </c>
      <c r="E18" s="748">
        <v>0</v>
      </c>
      <c r="F18" s="556">
        <f t="shared" si="2"/>
        <v>0</v>
      </c>
      <c r="G18" s="552"/>
      <c r="H18" s="623">
        <f t="shared" si="3"/>
        <v>-20949.039999999997</v>
      </c>
      <c r="I18" s="585">
        <f t="shared" si="4"/>
        <v>0</v>
      </c>
      <c r="J18" s="585">
        <f t="shared" si="1"/>
        <v>0</v>
      </c>
      <c r="K18" s="624"/>
    </row>
    <row r="19" spans="1:14">
      <c r="A19" s="609">
        <f t="shared" si="0"/>
        <v>13</v>
      </c>
      <c r="B19" s="620" t="s">
        <v>517</v>
      </c>
      <c r="C19" s="625">
        <v>31</v>
      </c>
      <c r="D19" s="748">
        <v>0</v>
      </c>
      <c r="E19" s="748">
        <v>0</v>
      </c>
      <c r="F19" s="556">
        <f t="shared" si="2"/>
        <v>0</v>
      </c>
      <c r="G19" s="552"/>
      <c r="H19" s="623">
        <f t="shared" si="3"/>
        <v>-20949.039999999997</v>
      </c>
      <c r="I19" s="585">
        <f t="shared" si="4"/>
        <v>0</v>
      </c>
      <c r="J19" s="585">
        <f t="shared" si="1"/>
        <v>0</v>
      </c>
      <c r="K19" s="624"/>
    </row>
    <row r="20" spans="1:14">
      <c r="A20" s="609">
        <f t="shared" si="0"/>
        <v>14</v>
      </c>
      <c r="B20" s="620" t="s">
        <v>171</v>
      </c>
      <c r="C20" s="625">
        <v>30</v>
      </c>
      <c r="D20" s="748">
        <v>0</v>
      </c>
      <c r="E20" s="748">
        <v>0</v>
      </c>
      <c r="F20" s="556">
        <f t="shared" si="2"/>
        <v>0</v>
      </c>
      <c r="G20" s="552"/>
      <c r="H20" s="623">
        <f t="shared" si="3"/>
        <v>-20949.039999999997</v>
      </c>
      <c r="I20" s="585">
        <f t="shared" si="4"/>
        <v>0</v>
      </c>
      <c r="J20" s="585">
        <f t="shared" si="1"/>
        <v>0</v>
      </c>
      <c r="K20" s="624"/>
    </row>
    <row r="21" spans="1:14">
      <c r="A21" s="609">
        <f t="shared" si="0"/>
        <v>15</v>
      </c>
      <c r="B21" s="620" t="s">
        <v>172</v>
      </c>
      <c r="C21" s="625">
        <v>31</v>
      </c>
      <c r="D21" s="748">
        <v>0</v>
      </c>
      <c r="E21" s="748">
        <v>0</v>
      </c>
      <c r="F21" s="556">
        <f t="shared" si="2"/>
        <v>0</v>
      </c>
      <c r="G21" s="552"/>
      <c r="H21" s="623">
        <f t="shared" si="3"/>
        <v>-20949.039999999997</v>
      </c>
      <c r="I21" s="585">
        <f t="shared" si="4"/>
        <v>0</v>
      </c>
      <c r="J21" s="585">
        <f t="shared" si="1"/>
        <v>0</v>
      </c>
      <c r="K21" s="624"/>
    </row>
    <row r="22" spans="1:14">
      <c r="A22" s="609">
        <f t="shared" si="0"/>
        <v>16</v>
      </c>
      <c r="B22" s="620" t="s">
        <v>173</v>
      </c>
      <c r="C22" s="625">
        <v>30</v>
      </c>
      <c r="D22" s="748">
        <v>0</v>
      </c>
      <c r="E22" s="748">
        <v>0</v>
      </c>
      <c r="F22" s="556">
        <f t="shared" si="2"/>
        <v>0</v>
      </c>
      <c r="G22" s="552"/>
      <c r="H22" s="623">
        <f t="shared" si="3"/>
        <v>-20949.039999999997</v>
      </c>
      <c r="I22" s="585">
        <f t="shared" si="4"/>
        <v>0</v>
      </c>
      <c r="J22" s="585">
        <f t="shared" si="1"/>
        <v>0</v>
      </c>
      <c r="K22" s="624"/>
    </row>
    <row r="23" spans="1:14">
      <c r="A23" s="609">
        <f t="shared" si="0"/>
        <v>17</v>
      </c>
      <c r="B23" s="620" t="s">
        <v>518</v>
      </c>
      <c r="C23" s="625">
        <v>31</v>
      </c>
      <c r="D23" s="748">
        <v>0</v>
      </c>
      <c r="E23" s="748">
        <v>0</v>
      </c>
      <c r="F23" s="556">
        <f t="shared" si="2"/>
        <v>0</v>
      </c>
      <c r="G23" s="552"/>
      <c r="H23" s="623">
        <f t="shared" si="3"/>
        <v>-20949.039999999997</v>
      </c>
      <c r="I23" s="585">
        <f t="shared" si="4"/>
        <v>0</v>
      </c>
      <c r="J23" s="585">
        <f t="shared" si="1"/>
        <v>0</v>
      </c>
      <c r="K23" s="624"/>
      <c r="L23" s="643"/>
      <c r="M23" s="645"/>
      <c r="N23" s="643"/>
    </row>
    <row r="24" spans="1:14">
      <c r="A24" s="609">
        <f t="shared" si="0"/>
        <v>18</v>
      </c>
      <c r="B24" s="627"/>
      <c r="C24" s="627" t="s">
        <v>9</v>
      </c>
      <c r="D24" s="627"/>
      <c r="E24" s="627"/>
      <c r="F24" s="628"/>
      <c r="G24" s="621"/>
      <c r="H24" s="629">
        <f>SUM(H12:H23)</f>
        <v>-251388.48</v>
      </c>
      <c r="I24" s="629">
        <f>SUM(I12:I23)</f>
        <v>0</v>
      </c>
      <c r="J24" s="628"/>
      <c r="K24" s="618"/>
    </row>
    <row r="25" spans="1:14">
      <c r="B25" s="630"/>
      <c r="C25" s="630"/>
      <c r="D25" s="630"/>
      <c r="E25" s="630"/>
      <c r="F25" s="631"/>
      <c r="G25" s="631"/>
      <c r="I25" s="632"/>
      <c r="J25" s="631"/>
      <c r="K25" s="618"/>
      <c r="L25" s="643"/>
    </row>
    <row r="26" spans="1:14">
      <c r="A26" s="609">
        <f>+A24+1</f>
        <v>19</v>
      </c>
      <c r="B26" s="609" t="s">
        <v>1012</v>
      </c>
      <c r="F26" s="609" t="s">
        <v>847</v>
      </c>
      <c r="G26" s="631"/>
      <c r="I26" s="631"/>
      <c r="J26" s="644">
        <f>'A3-ADIT'!E15</f>
        <v>25144204</v>
      </c>
    </row>
    <row r="27" spans="1:14">
      <c r="A27" s="609">
        <f>+A26+1</f>
        <v>20</v>
      </c>
      <c r="B27" s="609" t="s">
        <v>1186</v>
      </c>
      <c r="F27" s="609" t="s">
        <v>1013</v>
      </c>
      <c r="G27" s="631"/>
      <c r="I27" s="631"/>
      <c r="J27" s="644">
        <f>J166*-0.21</f>
        <v>0</v>
      </c>
    </row>
    <row r="28" spans="1:14">
      <c r="A28" s="609">
        <f t="shared" ref="A28" si="5">+A27+1</f>
        <v>21</v>
      </c>
      <c r="B28" s="609" t="s">
        <v>1187</v>
      </c>
      <c r="F28" s="609" t="s">
        <v>1014</v>
      </c>
      <c r="G28" s="631"/>
      <c r="I28" s="631"/>
      <c r="J28" s="644">
        <f>J26-J27</f>
        <v>25144204</v>
      </c>
    </row>
    <row r="29" spans="1:14">
      <c r="A29" s="609">
        <f>+A28+1</f>
        <v>22</v>
      </c>
      <c r="B29" s="609" t="s">
        <v>1188</v>
      </c>
      <c r="F29" s="609" t="s">
        <v>1015</v>
      </c>
      <c r="G29" s="631"/>
      <c r="I29" s="631"/>
      <c r="J29" s="644">
        <f>J27</f>
        <v>0</v>
      </c>
    </row>
    <row r="30" spans="1:14">
      <c r="A30" s="609">
        <f>+A29+1</f>
        <v>23</v>
      </c>
      <c r="B30" s="609" t="s">
        <v>900</v>
      </c>
      <c r="F30" s="609" t="s">
        <v>918</v>
      </c>
      <c r="G30" s="631"/>
      <c r="I30" s="631"/>
      <c r="J30" s="623">
        <v>0</v>
      </c>
    </row>
    <row r="31" spans="1:14">
      <c r="A31" s="609">
        <f>+A30+1</f>
        <v>24</v>
      </c>
      <c r="B31" s="609" t="s">
        <v>1185</v>
      </c>
      <c r="F31" s="609" t="s">
        <v>1010</v>
      </c>
      <c r="G31" s="631"/>
      <c r="I31" s="631"/>
      <c r="J31" s="633">
        <f>J29+J30</f>
        <v>0</v>
      </c>
    </row>
    <row r="32" spans="1:14">
      <c r="A32" s="609">
        <v>25</v>
      </c>
      <c r="B32" s="609" t="s">
        <v>851</v>
      </c>
      <c r="F32" s="609" t="s">
        <v>1011</v>
      </c>
      <c r="G32" s="631"/>
      <c r="I32" s="618"/>
      <c r="J32" s="634">
        <f>J23</f>
        <v>0</v>
      </c>
    </row>
    <row r="33" spans="1:11">
      <c r="A33" s="609">
        <v>26</v>
      </c>
      <c r="B33" s="609" t="s">
        <v>1000</v>
      </c>
      <c r="F33" s="609" t="s">
        <v>996</v>
      </c>
      <c r="J33" s="645">
        <f>J31+J32</f>
        <v>0</v>
      </c>
    </row>
    <row r="34" spans="1:11">
      <c r="A34" s="609">
        <v>27</v>
      </c>
      <c r="B34" s="609" t="s">
        <v>1007</v>
      </c>
      <c r="J34" s="653">
        <v>7.9579999999999998E-2</v>
      </c>
    </row>
    <row r="35" spans="1:11">
      <c r="A35" s="609">
        <v>28</v>
      </c>
      <c r="B35" s="612" t="s">
        <v>864</v>
      </c>
      <c r="J35" s="654">
        <f>J33*J34</f>
        <v>0</v>
      </c>
    </row>
    <row r="36" spans="1:11">
      <c r="J36" s="645"/>
    </row>
    <row r="37" spans="1:11">
      <c r="J37" s="645"/>
    </row>
    <row r="38" spans="1:11" ht="15">
      <c r="A38"/>
      <c r="B38"/>
      <c r="C38"/>
      <c r="D38"/>
      <c r="E38"/>
      <c r="F38"/>
      <c r="G38"/>
      <c r="H38"/>
      <c r="I38"/>
      <c r="J38"/>
    </row>
    <row r="39" spans="1:11">
      <c r="A39" s="830" t="str">
        <f>A1</f>
        <v>Worksheet P5</v>
      </c>
      <c r="B39" s="830"/>
      <c r="C39" s="830"/>
      <c r="D39" s="830"/>
      <c r="E39" s="830"/>
      <c r="F39" s="830"/>
      <c r="G39" s="830"/>
      <c r="H39" s="830"/>
      <c r="I39" s="830"/>
      <c r="J39" s="830"/>
      <c r="K39" s="830"/>
    </row>
    <row r="40" spans="1:11">
      <c r="A40" s="830" t="str">
        <f>A2</f>
        <v>Accumulated Deferred Income Taxes</v>
      </c>
      <c r="B40" s="830"/>
      <c r="C40" s="830"/>
      <c r="D40" s="830"/>
      <c r="E40" s="830"/>
      <c r="F40" s="830"/>
      <c r="G40" s="830"/>
      <c r="H40" s="830"/>
      <c r="I40" s="830"/>
      <c r="J40" s="830"/>
      <c r="K40" s="830"/>
    </row>
    <row r="41" spans="1:11">
      <c r="A41" s="834" t="str">
        <f>A3</f>
        <v>Cheyenne Light, Fuel &amp; Power</v>
      </c>
      <c r="B41" s="834"/>
      <c r="C41" s="834"/>
      <c r="D41" s="834"/>
      <c r="E41" s="834"/>
      <c r="F41" s="834"/>
      <c r="G41" s="834"/>
      <c r="H41" s="834"/>
      <c r="I41" s="834"/>
      <c r="J41" s="834"/>
      <c r="K41" s="834"/>
    </row>
    <row r="42" spans="1:11">
      <c r="J42" s="611" t="s">
        <v>984</v>
      </c>
    </row>
    <row r="43" spans="1:11">
      <c r="B43" s="612"/>
      <c r="J43" s="610"/>
      <c r="K43" s="636"/>
    </row>
    <row r="44" spans="1:11">
      <c r="A44" s="609">
        <f>A35+1</f>
        <v>29</v>
      </c>
      <c r="B44" s="612" t="s">
        <v>855</v>
      </c>
      <c r="H44" s="613"/>
      <c r="I44" s="613"/>
      <c r="J44" s="613"/>
    </row>
    <row r="45" spans="1:11">
      <c r="A45" s="609">
        <f>+A44+1</f>
        <v>30</v>
      </c>
      <c r="B45" s="827" t="s">
        <v>836</v>
      </c>
      <c r="C45" s="828"/>
      <c r="D45" s="828"/>
      <c r="E45" s="828"/>
      <c r="F45" s="829"/>
      <c r="G45" s="615"/>
      <c r="H45" s="827" t="s">
        <v>837</v>
      </c>
      <c r="I45" s="828"/>
      <c r="J45" s="829"/>
    </row>
    <row r="46" spans="1:11">
      <c r="B46" s="616" t="s">
        <v>79</v>
      </c>
      <c r="C46" s="616" t="s">
        <v>80</v>
      </c>
      <c r="D46" s="616" t="s">
        <v>81</v>
      </c>
      <c r="E46" s="616" t="s">
        <v>82</v>
      </c>
      <c r="F46" s="616" t="s">
        <v>83</v>
      </c>
      <c r="G46" s="615"/>
      <c r="H46" s="616" t="s">
        <v>84</v>
      </c>
      <c r="I46" s="616" t="s">
        <v>85</v>
      </c>
      <c r="J46" s="616" t="s">
        <v>449</v>
      </c>
    </row>
    <row r="47" spans="1:11" ht="52.8">
      <c r="A47" s="609">
        <f>+A45+1</f>
        <v>31</v>
      </c>
      <c r="B47" s="617" t="s">
        <v>268</v>
      </c>
      <c r="C47" s="617" t="s">
        <v>838</v>
      </c>
      <c r="D47" s="617" t="s">
        <v>839</v>
      </c>
      <c r="E47" s="617" t="s">
        <v>840</v>
      </c>
      <c r="F47" s="617" t="s">
        <v>841</v>
      </c>
      <c r="G47" s="618"/>
      <c r="H47" s="617" t="s">
        <v>842</v>
      </c>
      <c r="I47" s="617" t="s">
        <v>843</v>
      </c>
      <c r="J47" s="617" t="s">
        <v>844</v>
      </c>
    </row>
    <row r="48" spans="1:11">
      <c r="A48" s="609">
        <f t="shared" ref="A48:A62" si="6">+A47+1</f>
        <v>32</v>
      </c>
      <c r="C48" s="618"/>
      <c r="D48" s="618"/>
      <c r="E48" s="618"/>
      <c r="F48" s="618"/>
      <c r="G48" s="618"/>
      <c r="H48" s="618"/>
      <c r="I48" s="618"/>
      <c r="J48" s="618"/>
    </row>
    <row r="49" spans="1:11">
      <c r="A49" s="609">
        <f t="shared" si="6"/>
        <v>33</v>
      </c>
      <c r="B49" s="619" t="s">
        <v>845</v>
      </c>
      <c r="C49" s="620"/>
      <c r="D49" s="621"/>
      <c r="E49" s="621"/>
      <c r="F49" s="621"/>
      <c r="G49" s="621"/>
      <c r="H49" s="622"/>
      <c r="I49" s="622"/>
      <c r="J49" s="623">
        <v>0</v>
      </c>
      <c r="K49" s="637"/>
    </row>
    <row r="50" spans="1:11">
      <c r="A50" s="609">
        <f t="shared" si="6"/>
        <v>34</v>
      </c>
      <c r="B50" s="620" t="s">
        <v>165</v>
      </c>
      <c r="C50" s="625">
        <v>31</v>
      </c>
      <c r="D50" s="748">
        <v>0</v>
      </c>
      <c r="E50" s="748">
        <v>0</v>
      </c>
      <c r="F50" s="556">
        <f>IF(E50=0,0,D50/E50)</f>
        <v>0</v>
      </c>
      <c r="G50" s="552"/>
      <c r="H50" s="623"/>
      <c r="I50" s="553">
        <f>+H50*F50</f>
        <v>0</v>
      </c>
      <c r="J50" s="553">
        <f t="shared" ref="J50:J61" si="7">+I50+J49</f>
        <v>0</v>
      </c>
    </row>
    <row r="51" spans="1:11">
      <c r="A51" s="609">
        <f t="shared" si="6"/>
        <v>35</v>
      </c>
      <c r="B51" s="620" t="s">
        <v>166</v>
      </c>
      <c r="C51" s="626">
        <v>28</v>
      </c>
      <c r="D51" s="748">
        <v>0</v>
      </c>
      <c r="E51" s="748">
        <v>0</v>
      </c>
      <c r="F51" s="556">
        <f t="shared" ref="F51:F61" si="8">IF(E51=0,0,D51/E51)</f>
        <v>0</v>
      </c>
      <c r="G51" s="552"/>
      <c r="H51" s="623"/>
      <c r="I51" s="553">
        <f t="shared" ref="I51:I61" si="9">+H51*F51</f>
        <v>0</v>
      </c>
      <c r="J51" s="553">
        <f t="shared" si="7"/>
        <v>0</v>
      </c>
    </row>
    <row r="52" spans="1:11">
      <c r="A52" s="609">
        <f t="shared" si="6"/>
        <v>36</v>
      </c>
      <c r="B52" s="620" t="s">
        <v>516</v>
      </c>
      <c r="C52" s="625">
        <v>31</v>
      </c>
      <c r="D52" s="748">
        <v>0</v>
      </c>
      <c r="E52" s="748">
        <v>0</v>
      </c>
      <c r="F52" s="556">
        <f t="shared" si="8"/>
        <v>0</v>
      </c>
      <c r="G52" s="552"/>
      <c r="H52" s="623"/>
      <c r="I52" s="553">
        <f t="shared" si="9"/>
        <v>0</v>
      </c>
      <c r="J52" s="553">
        <f t="shared" si="7"/>
        <v>0</v>
      </c>
    </row>
    <row r="53" spans="1:11">
      <c r="A53" s="609">
        <f t="shared" si="6"/>
        <v>37</v>
      </c>
      <c r="B53" s="620" t="s">
        <v>167</v>
      </c>
      <c r="C53" s="625">
        <v>30</v>
      </c>
      <c r="D53" s="748">
        <v>0</v>
      </c>
      <c r="E53" s="748">
        <v>0</v>
      </c>
      <c r="F53" s="556">
        <f t="shared" si="8"/>
        <v>0</v>
      </c>
      <c r="G53" s="552"/>
      <c r="H53" s="623"/>
      <c r="I53" s="553">
        <f t="shared" si="9"/>
        <v>0</v>
      </c>
      <c r="J53" s="553">
        <f t="shared" si="7"/>
        <v>0</v>
      </c>
    </row>
    <row r="54" spans="1:11">
      <c r="A54" s="609">
        <f t="shared" si="6"/>
        <v>38</v>
      </c>
      <c r="B54" s="620" t="s">
        <v>168</v>
      </c>
      <c r="C54" s="625">
        <v>31</v>
      </c>
      <c r="D54" s="748">
        <v>0</v>
      </c>
      <c r="E54" s="748">
        <v>0</v>
      </c>
      <c r="F54" s="556">
        <f t="shared" si="8"/>
        <v>0</v>
      </c>
      <c r="G54" s="552"/>
      <c r="H54" s="623"/>
      <c r="I54" s="553">
        <f t="shared" si="9"/>
        <v>0</v>
      </c>
      <c r="J54" s="553">
        <f t="shared" si="7"/>
        <v>0</v>
      </c>
    </row>
    <row r="55" spans="1:11">
      <c r="A55" s="609">
        <f t="shared" si="6"/>
        <v>39</v>
      </c>
      <c r="B55" s="620" t="s">
        <v>169</v>
      </c>
      <c r="C55" s="625">
        <v>30</v>
      </c>
      <c r="D55" s="748">
        <v>0</v>
      </c>
      <c r="E55" s="748">
        <v>0</v>
      </c>
      <c r="F55" s="556">
        <f t="shared" si="8"/>
        <v>0</v>
      </c>
      <c r="G55" s="552"/>
      <c r="H55" s="623"/>
      <c r="I55" s="553">
        <f t="shared" si="9"/>
        <v>0</v>
      </c>
      <c r="J55" s="553">
        <f t="shared" si="7"/>
        <v>0</v>
      </c>
    </row>
    <row r="56" spans="1:11">
      <c r="A56" s="609">
        <f t="shared" si="6"/>
        <v>40</v>
      </c>
      <c r="B56" s="620" t="s">
        <v>170</v>
      </c>
      <c r="C56" s="625">
        <v>31</v>
      </c>
      <c r="D56" s="748">
        <v>0</v>
      </c>
      <c r="E56" s="748">
        <v>0</v>
      </c>
      <c r="F56" s="556">
        <f t="shared" si="8"/>
        <v>0</v>
      </c>
      <c r="G56" s="552"/>
      <c r="H56" s="623"/>
      <c r="I56" s="553">
        <f t="shared" si="9"/>
        <v>0</v>
      </c>
      <c r="J56" s="553">
        <f t="shared" si="7"/>
        <v>0</v>
      </c>
    </row>
    <row r="57" spans="1:11">
      <c r="A57" s="609">
        <f t="shared" si="6"/>
        <v>41</v>
      </c>
      <c r="B57" s="620" t="s">
        <v>517</v>
      </c>
      <c r="C57" s="625">
        <v>31</v>
      </c>
      <c r="D57" s="748">
        <v>0</v>
      </c>
      <c r="E57" s="748">
        <v>0</v>
      </c>
      <c r="F57" s="556">
        <f t="shared" si="8"/>
        <v>0</v>
      </c>
      <c r="G57" s="552"/>
      <c r="H57" s="623"/>
      <c r="I57" s="553">
        <f t="shared" si="9"/>
        <v>0</v>
      </c>
      <c r="J57" s="553">
        <f t="shared" si="7"/>
        <v>0</v>
      </c>
    </row>
    <row r="58" spans="1:11">
      <c r="A58" s="609">
        <f t="shared" si="6"/>
        <v>42</v>
      </c>
      <c r="B58" s="620" t="s">
        <v>171</v>
      </c>
      <c r="C58" s="625">
        <v>30</v>
      </c>
      <c r="D58" s="748">
        <v>0</v>
      </c>
      <c r="E58" s="748">
        <v>0</v>
      </c>
      <c r="F58" s="556">
        <f t="shared" si="8"/>
        <v>0</v>
      </c>
      <c r="G58" s="552"/>
      <c r="H58" s="623"/>
      <c r="I58" s="553">
        <f t="shared" si="9"/>
        <v>0</v>
      </c>
      <c r="J58" s="553">
        <f t="shared" si="7"/>
        <v>0</v>
      </c>
    </row>
    <row r="59" spans="1:11">
      <c r="A59" s="609">
        <f t="shared" si="6"/>
        <v>43</v>
      </c>
      <c r="B59" s="620" t="s">
        <v>172</v>
      </c>
      <c r="C59" s="625">
        <v>31</v>
      </c>
      <c r="D59" s="748">
        <v>0</v>
      </c>
      <c r="E59" s="748">
        <v>0</v>
      </c>
      <c r="F59" s="556">
        <f t="shared" si="8"/>
        <v>0</v>
      </c>
      <c r="G59" s="552"/>
      <c r="H59" s="623"/>
      <c r="I59" s="553">
        <f t="shared" si="9"/>
        <v>0</v>
      </c>
      <c r="J59" s="553">
        <f t="shared" si="7"/>
        <v>0</v>
      </c>
    </row>
    <row r="60" spans="1:11">
      <c r="A60" s="609">
        <f t="shared" si="6"/>
        <v>44</v>
      </c>
      <c r="B60" s="620" t="s">
        <v>173</v>
      </c>
      <c r="C60" s="625">
        <v>30</v>
      </c>
      <c r="D60" s="748">
        <v>0</v>
      </c>
      <c r="E60" s="748">
        <v>0</v>
      </c>
      <c r="F60" s="556">
        <f t="shared" si="8"/>
        <v>0</v>
      </c>
      <c r="G60" s="552"/>
      <c r="H60" s="623"/>
      <c r="I60" s="553">
        <f t="shared" si="9"/>
        <v>0</v>
      </c>
      <c r="J60" s="553">
        <f t="shared" si="7"/>
        <v>0</v>
      </c>
    </row>
    <row r="61" spans="1:11">
      <c r="A61" s="609">
        <f t="shared" si="6"/>
        <v>45</v>
      </c>
      <c r="B61" s="620" t="s">
        <v>518</v>
      </c>
      <c r="C61" s="625">
        <v>31</v>
      </c>
      <c r="D61" s="748">
        <v>0</v>
      </c>
      <c r="E61" s="748">
        <v>0</v>
      </c>
      <c r="F61" s="556">
        <f t="shared" si="8"/>
        <v>0</v>
      </c>
      <c r="G61" s="552"/>
      <c r="H61" s="623"/>
      <c r="I61" s="553">
        <f t="shared" si="9"/>
        <v>0</v>
      </c>
      <c r="J61" s="553">
        <f t="shared" si="7"/>
        <v>0</v>
      </c>
    </row>
    <row r="62" spans="1:11">
      <c r="A62" s="609">
        <f t="shared" si="6"/>
        <v>46</v>
      </c>
      <c r="B62" s="627"/>
      <c r="C62" s="627" t="s">
        <v>9</v>
      </c>
      <c r="D62" s="627"/>
      <c r="E62" s="627"/>
      <c r="F62" s="628"/>
      <c r="G62" s="621"/>
      <c r="H62" s="629">
        <f>SUM(H50:H61)</f>
        <v>0</v>
      </c>
      <c r="I62" s="629">
        <f>SUM(I50:I61)</f>
        <v>0</v>
      </c>
      <c r="J62" s="628"/>
    </row>
    <row r="63" spans="1:11">
      <c r="B63" s="630"/>
      <c r="C63" s="630"/>
      <c r="D63" s="630"/>
      <c r="E63" s="630"/>
      <c r="F63" s="631"/>
      <c r="G63" s="631"/>
      <c r="I63" s="632"/>
      <c r="J63" s="631"/>
    </row>
    <row r="64" spans="1:11">
      <c r="A64" s="609">
        <f>+A62+1</f>
        <v>47</v>
      </c>
      <c r="B64" s="687" t="s">
        <v>1102</v>
      </c>
      <c r="F64" s="609" t="s">
        <v>856</v>
      </c>
      <c r="G64" s="631"/>
      <c r="I64" s="631"/>
      <c r="J64" s="626">
        <v>0</v>
      </c>
    </row>
    <row r="65" spans="1:11">
      <c r="A65" s="609">
        <f>+A64+1</f>
        <v>48</v>
      </c>
      <c r="B65" s="609" t="s">
        <v>848</v>
      </c>
      <c r="F65" s="609" t="str">
        <f>"(Line "&amp;A64&amp;" less line "&amp;A66&amp;")"</f>
        <v>(Line 47 less line 49)</v>
      </c>
      <c r="G65" s="631"/>
      <c r="I65" s="631"/>
      <c r="J65" s="633">
        <f>+J64-J66</f>
        <v>0</v>
      </c>
    </row>
    <row r="66" spans="1:11">
      <c r="A66" s="609">
        <f t="shared" ref="A66:A72" si="10">+A65+1</f>
        <v>49</v>
      </c>
      <c r="B66" s="609" t="s">
        <v>849</v>
      </c>
      <c r="F66" s="609" t="str">
        <f>"(Line "&amp;A49&amp;", Col H)"</f>
        <v>(Line 33, Col H)</v>
      </c>
      <c r="G66" s="631"/>
      <c r="I66" s="631"/>
      <c r="J66" s="622">
        <f>+J49</f>
        <v>0</v>
      </c>
    </row>
    <row r="67" spans="1:11">
      <c r="A67" s="609">
        <f t="shared" si="10"/>
        <v>50</v>
      </c>
      <c r="B67" s="609" t="s">
        <v>850</v>
      </c>
      <c r="F67" s="609" t="s">
        <v>857</v>
      </c>
      <c r="G67" s="631"/>
      <c r="I67" s="631"/>
      <c r="J67" s="626">
        <v>0</v>
      </c>
    </row>
    <row r="68" spans="1:11">
      <c r="A68" s="609">
        <f t="shared" si="10"/>
        <v>51</v>
      </c>
      <c r="B68" s="609" t="str">
        <f>+B65</f>
        <v>Less non Prorated Items</v>
      </c>
      <c r="F68" s="609" t="str">
        <f>"(Line "&amp;A67&amp;" less line "&amp;A69&amp;")"</f>
        <v>(Line 50 less line 52)</v>
      </c>
      <c r="G68" s="631"/>
      <c r="I68" s="631"/>
      <c r="J68" s="633">
        <f>+J67-J69</f>
        <v>0</v>
      </c>
    </row>
    <row r="69" spans="1:11">
      <c r="A69" s="609">
        <f t="shared" si="10"/>
        <v>52</v>
      </c>
      <c r="B69" s="609" t="s">
        <v>851</v>
      </c>
      <c r="F69" s="609" t="str">
        <f>"(Line "&amp;A61&amp;", Col H)"</f>
        <v>(Line 45, Col H)</v>
      </c>
      <c r="G69" s="631"/>
      <c r="I69" s="631"/>
      <c r="J69" s="622">
        <f>+J61</f>
        <v>0</v>
      </c>
    </row>
    <row r="70" spans="1:11">
      <c r="A70" s="609">
        <f t="shared" si="10"/>
        <v>53</v>
      </c>
      <c r="B70" s="609" t="s">
        <v>768</v>
      </c>
      <c r="F70" s="609" t="str">
        <f>"([Lines "&amp;A66&amp;" + "&amp;A69&amp;"] /2)+([Lines "&amp;A65&amp;" +"&amp;A68&amp;")/2])"</f>
        <v>([Lines 49 + 52] /2)+([Lines 48 +51)/2])</v>
      </c>
      <c r="G70" s="631"/>
      <c r="I70" s="618"/>
      <c r="J70" s="634">
        <f>(J66+J69)/2+(J65+J68)/2</f>
        <v>0</v>
      </c>
    </row>
    <row r="71" spans="1:11">
      <c r="A71" s="609">
        <f t="shared" si="10"/>
        <v>54</v>
      </c>
      <c r="B71" s="609" t="s">
        <v>854</v>
      </c>
      <c r="F71" s="609" t="s">
        <v>861</v>
      </c>
      <c r="G71" s="631"/>
      <c r="I71" s="618"/>
      <c r="J71" s="626">
        <v>0</v>
      </c>
    </row>
    <row r="72" spans="1:11">
      <c r="A72" s="609">
        <f t="shared" si="10"/>
        <v>55</v>
      </c>
      <c r="B72" s="609" t="s">
        <v>864</v>
      </c>
      <c r="F72" s="609" t="str">
        <f>"(Line "&amp;A70&amp;" less line "&amp;A71&amp;")"</f>
        <v>(Line 53 less line 54)</v>
      </c>
      <c r="J72" s="635">
        <f>+J70-J71</f>
        <v>0</v>
      </c>
    </row>
    <row r="73" spans="1:11">
      <c r="A73" s="830" t="str">
        <f>A1</f>
        <v>Worksheet P5</v>
      </c>
      <c r="B73" s="830"/>
      <c r="C73" s="830"/>
      <c r="D73" s="830"/>
      <c r="E73" s="830"/>
      <c r="F73" s="830"/>
      <c r="G73" s="830"/>
      <c r="H73" s="830"/>
      <c r="I73" s="830"/>
      <c r="J73" s="830"/>
      <c r="K73" s="830"/>
    </row>
    <row r="74" spans="1:11">
      <c r="A74" s="830" t="str">
        <f>A2</f>
        <v>Accumulated Deferred Income Taxes</v>
      </c>
      <c r="B74" s="830"/>
      <c r="C74" s="830"/>
      <c r="D74" s="830"/>
      <c r="E74" s="830"/>
      <c r="F74" s="830"/>
      <c r="G74" s="830"/>
      <c r="H74" s="830"/>
      <c r="I74" s="830"/>
      <c r="J74" s="830"/>
      <c r="K74" s="830"/>
    </row>
    <row r="75" spans="1:11">
      <c r="A75" s="830" t="str">
        <f>A3</f>
        <v>Cheyenne Light, Fuel &amp; Power</v>
      </c>
      <c r="B75" s="830"/>
      <c r="C75" s="830"/>
      <c r="D75" s="830"/>
      <c r="E75" s="830"/>
      <c r="F75" s="830"/>
      <c r="G75" s="830"/>
      <c r="H75" s="830"/>
      <c r="I75" s="830"/>
      <c r="J75" s="830"/>
      <c r="K75" s="830"/>
    </row>
    <row r="76" spans="1:11">
      <c r="A76" s="638"/>
      <c r="B76" s="638"/>
      <c r="C76" s="638"/>
      <c r="D76" s="638"/>
      <c r="E76" s="638"/>
      <c r="F76" s="638"/>
      <c r="G76" s="638"/>
      <c r="H76" s="638"/>
      <c r="I76" s="638"/>
      <c r="J76" s="611" t="s">
        <v>985</v>
      </c>
      <c r="K76" s="638"/>
    </row>
    <row r="78" spans="1:11">
      <c r="A78" s="609">
        <f>+A72+1</f>
        <v>56</v>
      </c>
      <c r="B78" s="612" t="s">
        <v>852</v>
      </c>
      <c r="H78" s="613"/>
      <c r="I78" s="613"/>
      <c r="J78" s="613"/>
    </row>
    <row r="79" spans="1:11">
      <c r="A79" s="609">
        <f>+A78+1</f>
        <v>57</v>
      </c>
      <c r="B79" s="831" t="s">
        <v>836</v>
      </c>
      <c r="C79" s="832"/>
      <c r="D79" s="832"/>
      <c r="E79" s="832"/>
      <c r="F79" s="833"/>
      <c r="G79" s="615"/>
      <c r="H79" s="827" t="s">
        <v>837</v>
      </c>
      <c r="I79" s="828"/>
      <c r="J79" s="829"/>
    </row>
    <row r="80" spans="1:11">
      <c r="B80" s="616" t="s">
        <v>79</v>
      </c>
      <c r="C80" s="616" t="s">
        <v>80</v>
      </c>
      <c r="D80" s="616" t="s">
        <v>81</v>
      </c>
      <c r="E80" s="616" t="s">
        <v>82</v>
      </c>
      <c r="F80" s="616" t="s">
        <v>83</v>
      </c>
      <c r="G80" s="615"/>
      <c r="H80" s="616" t="s">
        <v>84</v>
      </c>
      <c r="I80" s="616" t="s">
        <v>85</v>
      </c>
      <c r="J80" s="616" t="s">
        <v>449</v>
      </c>
    </row>
    <row r="81" spans="1:16" ht="52.8">
      <c r="A81" s="609">
        <f>+A79+1</f>
        <v>58</v>
      </c>
      <c r="B81" s="617" t="s">
        <v>268</v>
      </c>
      <c r="C81" s="617" t="s">
        <v>838</v>
      </c>
      <c r="D81" s="617" t="s">
        <v>839</v>
      </c>
      <c r="E81" s="617" t="s">
        <v>840</v>
      </c>
      <c r="F81" s="617" t="s">
        <v>841</v>
      </c>
      <c r="G81" s="618"/>
      <c r="H81" s="617" t="s">
        <v>842</v>
      </c>
      <c r="I81" s="617" t="s">
        <v>843</v>
      </c>
      <c r="J81" s="617" t="s">
        <v>844</v>
      </c>
    </row>
    <row r="82" spans="1:16">
      <c r="A82" s="609">
        <f t="shared" ref="A82:A96" si="11">+A81+1</f>
        <v>59</v>
      </c>
      <c r="C82" s="618"/>
      <c r="D82" s="618"/>
      <c r="E82" s="618"/>
      <c r="F82" s="618"/>
      <c r="G82" s="618"/>
      <c r="H82" s="618"/>
      <c r="I82" s="618"/>
      <c r="J82" s="618"/>
      <c r="L82" s="639"/>
      <c r="M82" s="639"/>
      <c r="N82" s="639"/>
      <c r="O82" s="639"/>
      <c r="P82" s="639"/>
    </row>
    <row r="83" spans="1:16">
      <c r="A83" s="609">
        <f>+A82+1</f>
        <v>60</v>
      </c>
      <c r="B83" s="609" t="s">
        <v>849</v>
      </c>
      <c r="C83" s="620"/>
      <c r="D83" s="621"/>
      <c r="E83" s="621"/>
      <c r="F83" s="621"/>
      <c r="G83" s="621"/>
      <c r="H83" s="622"/>
      <c r="I83" s="622"/>
      <c r="J83" s="623">
        <v>0</v>
      </c>
      <c r="L83" s="640"/>
      <c r="M83" s="639"/>
      <c r="N83" s="639"/>
      <c r="O83" s="639"/>
      <c r="P83" s="639"/>
    </row>
    <row r="84" spans="1:16">
      <c r="A84" s="609">
        <f t="shared" si="11"/>
        <v>61</v>
      </c>
      <c r="B84" s="620" t="s">
        <v>165</v>
      </c>
      <c r="C84" s="625">
        <v>31</v>
      </c>
      <c r="D84" s="748">
        <v>0</v>
      </c>
      <c r="E84" s="748">
        <v>0</v>
      </c>
      <c r="F84" s="573">
        <f>IF(E84=0,0,D84/E84)</f>
        <v>0</v>
      </c>
      <c r="G84" s="641"/>
      <c r="H84" s="623">
        <v>0</v>
      </c>
      <c r="I84" s="585">
        <f>+H84*F84</f>
        <v>0</v>
      </c>
      <c r="J84" s="585">
        <f>+I84+J83</f>
        <v>0</v>
      </c>
      <c r="L84" s="554"/>
      <c r="M84" s="555"/>
      <c r="N84" s="639"/>
      <c r="O84" s="639"/>
      <c r="P84" s="639"/>
    </row>
    <row r="85" spans="1:16">
      <c r="A85" s="609">
        <f t="shared" si="11"/>
        <v>62</v>
      </c>
      <c r="B85" s="620" t="s">
        <v>166</v>
      </c>
      <c r="C85" s="626">
        <v>28</v>
      </c>
      <c r="D85" s="748">
        <v>0</v>
      </c>
      <c r="E85" s="748">
        <v>0</v>
      </c>
      <c r="F85" s="573">
        <f t="shared" ref="F85:F95" si="12">IF(E85=0,0,D85/E85)</f>
        <v>0</v>
      </c>
      <c r="G85" s="557"/>
      <c r="H85" s="623">
        <v>0</v>
      </c>
      <c r="I85" s="585">
        <f t="shared" ref="I85:I95" si="13">+H85*F85</f>
        <v>0</v>
      </c>
      <c r="J85" s="585">
        <f t="shared" ref="J85:J95" si="14">+I85+J84</f>
        <v>0</v>
      </c>
      <c r="K85" s="642"/>
      <c r="L85" s="554"/>
      <c r="M85" s="554"/>
      <c r="N85" s="639"/>
      <c r="O85" s="639"/>
      <c r="P85" s="639"/>
    </row>
    <row r="86" spans="1:16">
      <c r="A86" s="609">
        <f t="shared" si="11"/>
        <v>63</v>
      </c>
      <c r="B86" s="620" t="s">
        <v>516</v>
      </c>
      <c r="C86" s="625">
        <v>31</v>
      </c>
      <c r="D86" s="748">
        <v>0</v>
      </c>
      <c r="E86" s="748">
        <v>0</v>
      </c>
      <c r="F86" s="573">
        <f t="shared" si="12"/>
        <v>0</v>
      </c>
      <c r="G86" s="557"/>
      <c r="H86" s="623">
        <v>0</v>
      </c>
      <c r="I86" s="585">
        <f t="shared" si="13"/>
        <v>0</v>
      </c>
      <c r="J86" s="585">
        <f t="shared" si="14"/>
        <v>0</v>
      </c>
      <c r="L86" s="554"/>
      <c r="M86" s="554"/>
      <c r="N86" s="639"/>
      <c r="O86" s="639"/>
      <c r="P86" s="639"/>
    </row>
    <row r="87" spans="1:16">
      <c r="A87" s="609">
        <f t="shared" si="11"/>
        <v>64</v>
      </c>
      <c r="B87" s="620" t="s">
        <v>167</v>
      </c>
      <c r="C87" s="625">
        <v>30</v>
      </c>
      <c r="D87" s="748">
        <v>0</v>
      </c>
      <c r="E87" s="748">
        <v>0</v>
      </c>
      <c r="F87" s="573">
        <f t="shared" si="12"/>
        <v>0</v>
      </c>
      <c r="G87" s="557"/>
      <c r="H87" s="623">
        <v>0</v>
      </c>
      <c r="I87" s="585">
        <f t="shared" si="13"/>
        <v>0</v>
      </c>
      <c r="J87" s="585">
        <f t="shared" si="14"/>
        <v>0</v>
      </c>
      <c r="L87" s="554"/>
      <c r="M87" s="554"/>
      <c r="N87" s="639"/>
      <c r="O87" s="639"/>
      <c r="P87" s="639"/>
    </row>
    <row r="88" spans="1:16">
      <c r="A88" s="609">
        <f t="shared" si="11"/>
        <v>65</v>
      </c>
      <c r="B88" s="620" t="s">
        <v>168</v>
      </c>
      <c r="C88" s="625">
        <v>31</v>
      </c>
      <c r="D88" s="748">
        <v>0</v>
      </c>
      <c r="E88" s="748">
        <v>0</v>
      </c>
      <c r="F88" s="573">
        <f t="shared" si="12"/>
        <v>0</v>
      </c>
      <c r="G88" s="557"/>
      <c r="H88" s="623">
        <v>0</v>
      </c>
      <c r="I88" s="585">
        <f t="shared" si="13"/>
        <v>0</v>
      </c>
      <c r="J88" s="585">
        <f t="shared" si="14"/>
        <v>0</v>
      </c>
      <c r="L88" s="554"/>
      <c r="M88" s="554"/>
      <c r="N88" s="639"/>
      <c r="O88" s="639"/>
      <c r="P88" s="639"/>
    </row>
    <row r="89" spans="1:16">
      <c r="A89" s="609">
        <f t="shared" si="11"/>
        <v>66</v>
      </c>
      <c r="B89" s="620" t="s">
        <v>169</v>
      </c>
      <c r="C89" s="625">
        <v>30</v>
      </c>
      <c r="D89" s="748">
        <v>0</v>
      </c>
      <c r="E89" s="748">
        <v>0</v>
      </c>
      <c r="F89" s="573">
        <f t="shared" si="12"/>
        <v>0</v>
      </c>
      <c r="G89" s="557"/>
      <c r="H89" s="623">
        <v>0</v>
      </c>
      <c r="I89" s="585">
        <f t="shared" si="13"/>
        <v>0</v>
      </c>
      <c r="J89" s="585">
        <f t="shared" si="14"/>
        <v>0</v>
      </c>
      <c r="L89" s="554"/>
      <c r="M89" s="554"/>
      <c r="N89" s="639"/>
      <c r="O89" s="639"/>
      <c r="P89" s="639"/>
    </row>
    <row r="90" spans="1:16">
      <c r="A90" s="609">
        <f t="shared" si="11"/>
        <v>67</v>
      </c>
      <c r="B90" s="620" t="s">
        <v>170</v>
      </c>
      <c r="C90" s="625">
        <v>31</v>
      </c>
      <c r="D90" s="748">
        <v>0</v>
      </c>
      <c r="E90" s="748">
        <v>0</v>
      </c>
      <c r="F90" s="573">
        <f t="shared" si="12"/>
        <v>0</v>
      </c>
      <c r="G90" s="557"/>
      <c r="H90" s="623">
        <v>0</v>
      </c>
      <c r="I90" s="585">
        <f t="shared" si="13"/>
        <v>0</v>
      </c>
      <c r="J90" s="585">
        <f t="shared" si="14"/>
        <v>0</v>
      </c>
      <c r="L90" s="554"/>
      <c r="M90" s="554"/>
      <c r="N90" s="640"/>
      <c r="O90" s="639"/>
      <c r="P90" s="554"/>
    </row>
    <row r="91" spans="1:16">
      <c r="A91" s="609">
        <f t="shared" si="11"/>
        <v>68</v>
      </c>
      <c r="B91" s="620" t="s">
        <v>517</v>
      </c>
      <c r="C91" s="625">
        <v>31</v>
      </c>
      <c r="D91" s="748">
        <v>0</v>
      </c>
      <c r="E91" s="748">
        <v>0</v>
      </c>
      <c r="F91" s="573">
        <f t="shared" si="12"/>
        <v>0</v>
      </c>
      <c r="G91" s="557"/>
      <c r="H91" s="623">
        <v>0</v>
      </c>
      <c r="I91" s="585">
        <f t="shared" si="13"/>
        <v>0</v>
      </c>
      <c r="J91" s="585">
        <f t="shared" si="14"/>
        <v>0</v>
      </c>
      <c r="L91" s="554"/>
      <c r="M91" s="554"/>
      <c r="N91" s="640"/>
      <c r="O91" s="639"/>
      <c r="P91" s="554"/>
    </row>
    <row r="92" spans="1:16">
      <c r="A92" s="609">
        <f t="shared" si="11"/>
        <v>69</v>
      </c>
      <c r="B92" s="620" t="s">
        <v>171</v>
      </c>
      <c r="C92" s="625">
        <v>30</v>
      </c>
      <c r="D92" s="748">
        <v>0</v>
      </c>
      <c r="E92" s="748">
        <v>0</v>
      </c>
      <c r="F92" s="573">
        <f t="shared" si="12"/>
        <v>0</v>
      </c>
      <c r="G92" s="557"/>
      <c r="H92" s="623">
        <v>0</v>
      </c>
      <c r="I92" s="585">
        <f t="shared" si="13"/>
        <v>0</v>
      </c>
      <c r="J92" s="585">
        <f t="shared" si="14"/>
        <v>0</v>
      </c>
      <c r="L92" s="554"/>
      <c r="M92" s="554"/>
      <c r="N92" s="640"/>
      <c r="O92" s="639"/>
      <c r="P92" s="554"/>
    </row>
    <row r="93" spans="1:16">
      <c r="A93" s="609">
        <f t="shared" si="11"/>
        <v>70</v>
      </c>
      <c r="B93" s="620" t="s">
        <v>172</v>
      </c>
      <c r="C93" s="625">
        <v>31</v>
      </c>
      <c r="D93" s="748">
        <v>0</v>
      </c>
      <c r="E93" s="748">
        <v>0</v>
      </c>
      <c r="F93" s="573">
        <f t="shared" si="12"/>
        <v>0</v>
      </c>
      <c r="G93" s="557"/>
      <c r="H93" s="623">
        <v>0</v>
      </c>
      <c r="I93" s="585">
        <f t="shared" si="13"/>
        <v>0</v>
      </c>
      <c r="J93" s="585">
        <f t="shared" si="14"/>
        <v>0</v>
      </c>
      <c r="L93" s="554"/>
      <c r="M93" s="554"/>
      <c r="N93" s="640"/>
      <c r="O93" s="639"/>
      <c r="P93" s="554"/>
    </row>
    <row r="94" spans="1:16">
      <c r="A94" s="609">
        <f t="shared" si="11"/>
        <v>71</v>
      </c>
      <c r="B94" s="620" t="s">
        <v>173</v>
      </c>
      <c r="C94" s="625">
        <v>30</v>
      </c>
      <c r="D94" s="748">
        <v>0</v>
      </c>
      <c r="E94" s="748">
        <v>0</v>
      </c>
      <c r="F94" s="573">
        <f t="shared" si="12"/>
        <v>0</v>
      </c>
      <c r="G94" s="557"/>
      <c r="H94" s="623">
        <v>0</v>
      </c>
      <c r="I94" s="585">
        <f t="shared" si="13"/>
        <v>0</v>
      </c>
      <c r="J94" s="585">
        <f t="shared" si="14"/>
        <v>0</v>
      </c>
      <c r="L94" s="554"/>
      <c r="M94" s="554"/>
      <c r="N94" s="640"/>
      <c r="O94" s="639"/>
      <c r="P94" s="554"/>
    </row>
    <row r="95" spans="1:16">
      <c r="A95" s="609">
        <f t="shared" si="11"/>
        <v>72</v>
      </c>
      <c r="B95" s="620" t="s">
        <v>518</v>
      </c>
      <c r="C95" s="625">
        <v>31</v>
      </c>
      <c r="D95" s="748">
        <v>0</v>
      </c>
      <c r="E95" s="748">
        <v>0</v>
      </c>
      <c r="F95" s="573">
        <f t="shared" si="12"/>
        <v>0</v>
      </c>
      <c r="G95" s="557"/>
      <c r="H95" s="623">
        <v>0</v>
      </c>
      <c r="I95" s="585">
        <f t="shared" si="13"/>
        <v>0</v>
      </c>
      <c r="J95" s="585">
        <f t="shared" si="14"/>
        <v>0</v>
      </c>
      <c r="L95" s="554"/>
      <c r="M95" s="554"/>
      <c r="N95" s="640"/>
      <c r="O95" s="639"/>
      <c r="P95" s="554"/>
    </row>
    <row r="96" spans="1:16">
      <c r="A96" s="609">
        <f t="shared" si="11"/>
        <v>73</v>
      </c>
      <c r="B96" s="627"/>
      <c r="C96" s="627" t="s">
        <v>9</v>
      </c>
      <c r="D96" s="627"/>
      <c r="E96" s="627"/>
      <c r="F96" s="628"/>
      <c r="G96" s="621"/>
      <c r="H96" s="629">
        <f>SUM(H84:H95)</f>
        <v>0</v>
      </c>
      <c r="I96" s="629">
        <f>SUM(I84:I95)</f>
        <v>0</v>
      </c>
      <c r="J96" s="628"/>
      <c r="L96" s="643"/>
    </row>
    <row r="97" spans="1:16">
      <c r="B97" s="630"/>
      <c r="C97" s="630"/>
      <c r="D97" s="630"/>
      <c r="E97" s="630"/>
      <c r="F97" s="631"/>
      <c r="G97" s="621"/>
      <c r="H97" s="622"/>
      <c r="I97" s="622"/>
      <c r="J97" s="631"/>
      <c r="L97" s="643"/>
    </row>
    <row r="98" spans="1:16">
      <c r="A98" s="609">
        <f>+A96+1</f>
        <v>74</v>
      </c>
      <c r="B98" s="619" t="s">
        <v>898</v>
      </c>
      <c r="C98" s="618"/>
      <c r="D98" s="618"/>
      <c r="E98" s="618"/>
      <c r="F98" s="619" t="s">
        <v>905</v>
      </c>
      <c r="G98" s="618"/>
      <c r="H98" s="618"/>
      <c r="I98" s="618"/>
      <c r="J98" s="584">
        <f>'A3-ADIT'!E13</f>
        <v>-74674604.139379382</v>
      </c>
      <c r="L98" s="639"/>
      <c r="M98" s="639"/>
      <c r="N98" s="639"/>
      <c r="O98" s="639"/>
      <c r="P98" s="639"/>
    </row>
    <row r="99" spans="1:16">
      <c r="A99" s="609">
        <f>A98+1</f>
        <v>75</v>
      </c>
      <c r="B99" s="609" t="s">
        <v>1090</v>
      </c>
      <c r="C99" s="618"/>
      <c r="D99" s="618"/>
      <c r="E99" s="618"/>
      <c r="F99" s="619" t="s">
        <v>1214</v>
      </c>
      <c r="G99" s="618"/>
      <c r="H99" s="618"/>
      <c r="I99" s="618"/>
      <c r="J99" s="734">
        <f>'Proj Att-H'!G234</f>
        <v>0.14296032413129539</v>
      </c>
      <c r="L99" s="639"/>
      <c r="M99" s="639"/>
      <c r="N99" s="639"/>
      <c r="O99" s="639"/>
      <c r="P99" s="639"/>
    </row>
    <row r="100" spans="1:16">
      <c r="A100" s="609">
        <f t="shared" ref="A100:A106" si="15">+A99+1</f>
        <v>76</v>
      </c>
      <c r="B100" s="609" t="s">
        <v>899</v>
      </c>
      <c r="C100" s="618"/>
      <c r="D100" s="618"/>
      <c r="E100" s="618"/>
      <c r="F100" s="619" t="s">
        <v>904</v>
      </c>
      <c r="G100" s="618"/>
      <c r="H100" s="618"/>
      <c r="I100" s="618"/>
      <c r="J100" s="735">
        <f>J98*J99</f>
        <v>-10675505.612141849</v>
      </c>
      <c r="L100" s="639"/>
      <c r="M100" s="639"/>
      <c r="N100" s="639"/>
      <c r="O100" s="639"/>
      <c r="P100" s="639"/>
    </row>
    <row r="101" spans="1:16">
      <c r="A101" s="609">
        <f t="shared" si="15"/>
        <v>77</v>
      </c>
      <c r="B101" s="609" t="s">
        <v>900</v>
      </c>
      <c r="C101" s="618"/>
      <c r="D101" s="618"/>
      <c r="E101" s="618"/>
      <c r="F101" s="619" t="s">
        <v>1212</v>
      </c>
      <c r="G101" s="618"/>
      <c r="H101" s="618"/>
      <c r="I101" s="618"/>
      <c r="J101" s="584">
        <f>'P1-Trans Plant'!V42</f>
        <v>0</v>
      </c>
      <c r="L101" s="639"/>
      <c r="M101" s="639"/>
      <c r="N101" s="639"/>
      <c r="O101" s="639"/>
      <c r="P101" s="639"/>
    </row>
    <row r="102" spans="1:16">
      <c r="A102" s="609">
        <f t="shared" si="15"/>
        <v>78</v>
      </c>
      <c r="B102" s="609" t="s">
        <v>846</v>
      </c>
      <c r="F102" s="609" t="s">
        <v>903</v>
      </c>
      <c r="G102" s="631"/>
      <c r="I102" s="631"/>
      <c r="J102" s="644">
        <f>J100+J101</f>
        <v>-10675505.612141849</v>
      </c>
    </row>
    <row r="103" spans="1:16">
      <c r="A103" s="609">
        <f t="shared" si="15"/>
        <v>79</v>
      </c>
      <c r="B103" s="609" t="s">
        <v>851</v>
      </c>
      <c r="F103" s="609" t="str">
        <f>"(Line "&amp;A95&amp;", Col H)"</f>
        <v>(Line 72, Col H)</v>
      </c>
      <c r="G103" s="631"/>
      <c r="I103" s="631"/>
      <c r="J103" s="622">
        <f>+J95</f>
        <v>0</v>
      </c>
    </row>
    <row r="104" spans="1:16">
      <c r="A104" s="609">
        <f t="shared" si="15"/>
        <v>80</v>
      </c>
      <c r="B104" s="609" t="s">
        <v>901</v>
      </c>
      <c r="F104" s="609" t="s">
        <v>902</v>
      </c>
      <c r="G104" s="631"/>
      <c r="I104" s="618"/>
      <c r="J104" s="634">
        <f>J102+J103</f>
        <v>-10675505.612141849</v>
      </c>
      <c r="L104" s="645"/>
    </row>
    <row r="105" spans="1:16">
      <c r="A105" s="609">
        <f t="shared" si="15"/>
        <v>81</v>
      </c>
      <c r="B105" s="609" t="s">
        <v>854</v>
      </c>
      <c r="F105" s="609" t="s">
        <v>861</v>
      </c>
      <c r="G105" s="631"/>
      <c r="I105" s="618"/>
      <c r="J105" s="626">
        <v>0</v>
      </c>
    </row>
    <row r="106" spans="1:16">
      <c r="A106" s="609">
        <f t="shared" si="15"/>
        <v>82</v>
      </c>
      <c r="B106" s="609" t="s">
        <v>864</v>
      </c>
      <c r="F106" s="609" t="s">
        <v>911</v>
      </c>
      <c r="J106" s="635">
        <f>+J104-J105</f>
        <v>-10675505.612141849</v>
      </c>
    </row>
    <row r="107" spans="1:16">
      <c r="A107" s="830" t="str">
        <f>A1</f>
        <v>Worksheet P5</v>
      </c>
      <c r="B107" s="830"/>
      <c r="C107" s="830"/>
      <c r="D107" s="830"/>
      <c r="E107" s="830"/>
      <c r="F107" s="830"/>
      <c r="G107" s="830"/>
      <c r="H107" s="830"/>
      <c r="I107" s="830"/>
      <c r="J107" s="830"/>
      <c r="K107" s="830"/>
    </row>
    <row r="108" spans="1:16">
      <c r="A108" s="830" t="str">
        <f>A2</f>
        <v>Accumulated Deferred Income Taxes</v>
      </c>
      <c r="B108" s="830"/>
      <c r="C108" s="830"/>
      <c r="D108" s="830"/>
      <c r="E108" s="830"/>
      <c r="F108" s="830"/>
      <c r="G108" s="830"/>
      <c r="H108" s="830"/>
      <c r="I108" s="830"/>
      <c r="J108" s="830"/>
      <c r="K108" s="830"/>
    </row>
    <row r="109" spans="1:16">
      <c r="A109" s="830" t="str">
        <f>A3</f>
        <v>Cheyenne Light, Fuel &amp; Power</v>
      </c>
      <c r="B109" s="830"/>
      <c r="C109" s="830"/>
      <c r="D109" s="830"/>
      <c r="E109" s="830"/>
      <c r="F109" s="830"/>
      <c r="G109" s="830"/>
      <c r="H109" s="830"/>
      <c r="I109" s="830"/>
      <c r="J109" s="830"/>
      <c r="K109" s="830"/>
    </row>
    <row r="110" spans="1:16">
      <c r="J110" s="611" t="s">
        <v>986</v>
      </c>
    </row>
    <row r="111" spans="1:16">
      <c r="A111" s="646"/>
      <c r="B111" s="646"/>
      <c r="C111" s="646"/>
      <c r="D111" s="646"/>
      <c r="E111" s="646"/>
      <c r="F111" s="646"/>
      <c r="G111" s="646"/>
      <c r="H111" s="646"/>
    </row>
    <row r="112" spans="1:16">
      <c r="A112" s="609">
        <f>A106+1</f>
        <v>83</v>
      </c>
      <c r="B112" s="612" t="s">
        <v>853</v>
      </c>
      <c r="H112" s="613"/>
      <c r="I112" s="613"/>
      <c r="J112" s="613"/>
    </row>
    <row r="113" spans="1:10">
      <c r="A113" s="609">
        <f>+A112+1</f>
        <v>84</v>
      </c>
      <c r="B113" s="827" t="s">
        <v>836</v>
      </c>
      <c r="C113" s="828"/>
      <c r="D113" s="828"/>
      <c r="E113" s="828"/>
      <c r="F113" s="829"/>
      <c r="G113" s="615"/>
      <c r="H113" s="827" t="s">
        <v>837</v>
      </c>
      <c r="I113" s="828"/>
      <c r="J113" s="829"/>
    </row>
    <row r="114" spans="1:10">
      <c r="B114" s="616" t="s">
        <v>79</v>
      </c>
      <c r="C114" s="616" t="s">
        <v>80</v>
      </c>
      <c r="D114" s="616" t="s">
        <v>81</v>
      </c>
      <c r="E114" s="616" t="s">
        <v>82</v>
      </c>
      <c r="F114" s="616" t="s">
        <v>83</v>
      </c>
      <c r="G114" s="615"/>
      <c r="H114" s="616" t="s">
        <v>84</v>
      </c>
      <c r="I114" s="616" t="s">
        <v>85</v>
      </c>
      <c r="J114" s="616" t="s">
        <v>449</v>
      </c>
    </row>
    <row r="115" spans="1:10" ht="52.8">
      <c r="A115" s="609">
        <f>+A113+1</f>
        <v>85</v>
      </c>
      <c r="B115" s="617" t="s">
        <v>268</v>
      </c>
      <c r="C115" s="617" t="s">
        <v>838</v>
      </c>
      <c r="D115" s="617" t="s">
        <v>839</v>
      </c>
      <c r="E115" s="617" t="s">
        <v>840</v>
      </c>
      <c r="F115" s="617" t="s">
        <v>841</v>
      </c>
      <c r="G115" s="618"/>
      <c r="H115" s="617" t="s">
        <v>842</v>
      </c>
      <c r="I115" s="617" t="s">
        <v>843</v>
      </c>
      <c r="J115" s="617" t="s">
        <v>844</v>
      </c>
    </row>
    <row r="116" spans="1:10">
      <c r="A116" s="609">
        <f t="shared" ref="A116:A130" si="16">+A115+1</f>
        <v>86</v>
      </c>
      <c r="C116" s="618"/>
      <c r="D116" s="618"/>
      <c r="E116" s="618"/>
      <c r="F116" s="618"/>
      <c r="G116" s="618"/>
      <c r="H116" s="618"/>
      <c r="I116" s="618"/>
      <c r="J116" s="618"/>
    </row>
    <row r="117" spans="1:10">
      <c r="A117" s="609">
        <f t="shared" si="16"/>
        <v>87</v>
      </c>
      <c r="B117" s="619" t="s">
        <v>845</v>
      </c>
      <c r="C117" s="620"/>
      <c r="D117" s="621"/>
      <c r="E117" s="621"/>
      <c r="F117" s="621"/>
      <c r="G117" s="621"/>
      <c r="H117" s="622"/>
      <c r="I117" s="622"/>
      <c r="J117" s="623">
        <v>0</v>
      </c>
    </row>
    <row r="118" spans="1:10">
      <c r="A118" s="609">
        <f t="shared" si="16"/>
        <v>88</v>
      </c>
      <c r="B118" s="620" t="s">
        <v>165</v>
      </c>
      <c r="C118" s="625">
        <v>31</v>
      </c>
      <c r="D118" s="748">
        <v>0</v>
      </c>
      <c r="E118" s="748">
        <v>0</v>
      </c>
      <c r="F118" s="556">
        <f>IF(E118=0,0,D118/E118)</f>
        <v>0</v>
      </c>
      <c r="G118" s="552"/>
      <c r="H118" s="623">
        <v>0</v>
      </c>
      <c r="I118" s="553">
        <f>+H118*F118</f>
        <v>0</v>
      </c>
      <c r="J118" s="553">
        <f t="shared" ref="J118:J129" si="17">+I118+J117</f>
        <v>0</v>
      </c>
    </row>
    <row r="119" spans="1:10">
      <c r="A119" s="609">
        <f t="shared" si="16"/>
        <v>89</v>
      </c>
      <c r="B119" s="620" t="s">
        <v>166</v>
      </c>
      <c r="C119" s="626">
        <v>28</v>
      </c>
      <c r="D119" s="748">
        <v>0</v>
      </c>
      <c r="E119" s="748">
        <v>0</v>
      </c>
      <c r="F119" s="556">
        <f t="shared" ref="F119:F129" si="18">IF(E119=0,0,D119/E119)</f>
        <v>0</v>
      </c>
      <c r="G119" s="552"/>
      <c r="H119" s="623">
        <v>0</v>
      </c>
      <c r="I119" s="553">
        <f t="shared" ref="I119:I129" si="19">+H119*F119</f>
        <v>0</v>
      </c>
      <c r="J119" s="553">
        <f t="shared" si="17"/>
        <v>0</v>
      </c>
    </row>
    <row r="120" spans="1:10">
      <c r="A120" s="609">
        <f t="shared" si="16"/>
        <v>90</v>
      </c>
      <c r="B120" s="620" t="s">
        <v>516</v>
      </c>
      <c r="C120" s="625">
        <v>31</v>
      </c>
      <c r="D120" s="748">
        <v>0</v>
      </c>
      <c r="E120" s="748">
        <v>0</v>
      </c>
      <c r="F120" s="556">
        <f t="shared" si="18"/>
        <v>0</v>
      </c>
      <c r="G120" s="552"/>
      <c r="H120" s="623">
        <v>0</v>
      </c>
      <c r="I120" s="553">
        <f t="shared" si="19"/>
        <v>0</v>
      </c>
      <c r="J120" s="553">
        <f t="shared" si="17"/>
        <v>0</v>
      </c>
    </row>
    <row r="121" spans="1:10">
      <c r="A121" s="609">
        <f t="shared" si="16"/>
        <v>91</v>
      </c>
      <c r="B121" s="620" t="s">
        <v>167</v>
      </c>
      <c r="C121" s="625">
        <v>30</v>
      </c>
      <c r="D121" s="748">
        <v>0</v>
      </c>
      <c r="E121" s="748">
        <v>0</v>
      </c>
      <c r="F121" s="556">
        <f t="shared" si="18"/>
        <v>0</v>
      </c>
      <c r="G121" s="552"/>
      <c r="H121" s="623">
        <v>0</v>
      </c>
      <c r="I121" s="553">
        <f t="shared" si="19"/>
        <v>0</v>
      </c>
      <c r="J121" s="553">
        <f t="shared" si="17"/>
        <v>0</v>
      </c>
    </row>
    <row r="122" spans="1:10">
      <c r="A122" s="609">
        <f t="shared" si="16"/>
        <v>92</v>
      </c>
      <c r="B122" s="620" t="s">
        <v>168</v>
      </c>
      <c r="C122" s="625">
        <v>31</v>
      </c>
      <c r="D122" s="748">
        <v>0</v>
      </c>
      <c r="E122" s="748">
        <v>0</v>
      </c>
      <c r="F122" s="556">
        <f t="shared" si="18"/>
        <v>0</v>
      </c>
      <c r="G122" s="552"/>
      <c r="H122" s="623">
        <v>0</v>
      </c>
      <c r="I122" s="553">
        <f t="shared" si="19"/>
        <v>0</v>
      </c>
      <c r="J122" s="553">
        <f t="shared" si="17"/>
        <v>0</v>
      </c>
    </row>
    <row r="123" spans="1:10">
      <c r="A123" s="609">
        <f t="shared" si="16"/>
        <v>93</v>
      </c>
      <c r="B123" s="620" t="s">
        <v>169</v>
      </c>
      <c r="C123" s="625">
        <v>30</v>
      </c>
      <c r="D123" s="748">
        <v>0</v>
      </c>
      <c r="E123" s="748">
        <v>0</v>
      </c>
      <c r="F123" s="556">
        <f t="shared" si="18"/>
        <v>0</v>
      </c>
      <c r="G123" s="552"/>
      <c r="H123" s="623">
        <v>0</v>
      </c>
      <c r="I123" s="553">
        <f t="shared" si="19"/>
        <v>0</v>
      </c>
      <c r="J123" s="553">
        <f t="shared" si="17"/>
        <v>0</v>
      </c>
    </row>
    <row r="124" spans="1:10">
      <c r="A124" s="609">
        <f t="shared" si="16"/>
        <v>94</v>
      </c>
      <c r="B124" s="620" t="s">
        <v>170</v>
      </c>
      <c r="C124" s="625">
        <v>31</v>
      </c>
      <c r="D124" s="748">
        <v>0</v>
      </c>
      <c r="E124" s="748">
        <v>0</v>
      </c>
      <c r="F124" s="556">
        <f t="shared" si="18"/>
        <v>0</v>
      </c>
      <c r="G124" s="552"/>
      <c r="H124" s="623">
        <v>0</v>
      </c>
      <c r="I124" s="553">
        <f t="shared" si="19"/>
        <v>0</v>
      </c>
      <c r="J124" s="553">
        <f t="shared" si="17"/>
        <v>0</v>
      </c>
    </row>
    <row r="125" spans="1:10">
      <c r="A125" s="609">
        <f t="shared" si="16"/>
        <v>95</v>
      </c>
      <c r="B125" s="620" t="s">
        <v>517</v>
      </c>
      <c r="C125" s="625">
        <v>31</v>
      </c>
      <c r="D125" s="748">
        <v>0</v>
      </c>
      <c r="E125" s="748">
        <v>0</v>
      </c>
      <c r="F125" s="556">
        <f t="shared" si="18"/>
        <v>0</v>
      </c>
      <c r="G125" s="552"/>
      <c r="H125" s="623">
        <v>0</v>
      </c>
      <c r="I125" s="553">
        <f t="shared" si="19"/>
        <v>0</v>
      </c>
      <c r="J125" s="553">
        <f t="shared" si="17"/>
        <v>0</v>
      </c>
    </row>
    <row r="126" spans="1:10">
      <c r="A126" s="609">
        <f t="shared" si="16"/>
        <v>96</v>
      </c>
      <c r="B126" s="620" t="s">
        <v>171</v>
      </c>
      <c r="C126" s="625">
        <v>30</v>
      </c>
      <c r="D126" s="748">
        <v>0</v>
      </c>
      <c r="E126" s="748">
        <v>0</v>
      </c>
      <c r="F126" s="556">
        <f t="shared" si="18"/>
        <v>0</v>
      </c>
      <c r="G126" s="552"/>
      <c r="H126" s="623">
        <v>0</v>
      </c>
      <c r="I126" s="553">
        <f t="shared" si="19"/>
        <v>0</v>
      </c>
      <c r="J126" s="553">
        <f t="shared" si="17"/>
        <v>0</v>
      </c>
    </row>
    <row r="127" spans="1:10">
      <c r="A127" s="609">
        <f t="shared" si="16"/>
        <v>97</v>
      </c>
      <c r="B127" s="620" t="s">
        <v>172</v>
      </c>
      <c r="C127" s="625">
        <v>31</v>
      </c>
      <c r="D127" s="748">
        <v>0</v>
      </c>
      <c r="E127" s="748">
        <v>0</v>
      </c>
      <c r="F127" s="556">
        <f t="shared" si="18"/>
        <v>0</v>
      </c>
      <c r="G127" s="552"/>
      <c r="H127" s="623">
        <v>0</v>
      </c>
      <c r="I127" s="553">
        <f t="shared" si="19"/>
        <v>0</v>
      </c>
      <c r="J127" s="553">
        <f t="shared" si="17"/>
        <v>0</v>
      </c>
    </row>
    <row r="128" spans="1:10">
      <c r="A128" s="609">
        <f t="shared" si="16"/>
        <v>98</v>
      </c>
      <c r="B128" s="620" t="s">
        <v>173</v>
      </c>
      <c r="C128" s="625">
        <v>30</v>
      </c>
      <c r="D128" s="748">
        <v>0</v>
      </c>
      <c r="E128" s="748">
        <v>0</v>
      </c>
      <c r="F128" s="556">
        <f t="shared" si="18"/>
        <v>0</v>
      </c>
      <c r="G128" s="552"/>
      <c r="H128" s="623">
        <v>0</v>
      </c>
      <c r="I128" s="553">
        <f t="shared" si="19"/>
        <v>0</v>
      </c>
      <c r="J128" s="553">
        <f t="shared" si="17"/>
        <v>0</v>
      </c>
    </row>
    <row r="129" spans="1:11">
      <c r="A129" s="609">
        <f t="shared" si="16"/>
        <v>99</v>
      </c>
      <c r="B129" s="620" t="s">
        <v>518</v>
      </c>
      <c r="C129" s="625">
        <v>31</v>
      </c>
      <c r="D129" s="748">
        <v>0</v>
      </c>
      <c r="E129" s="748">
        <v>0</v>
      </c>
      <c r="F129" s="556">
        <f t="shared" si="18"/>
        <v>0</v>
      </c>
      <c r="G129" s="552"/>
      <c r="H129" s="623">
        <v>0</v>
      </c>
      <c r="I129" s="553">
        <f t="shared" si="19"/>
        <v>0</v>
      </c>
      <c r="J129" s="553">
        <f t="shared" si="17"/>
        <v>0</v>
      </c>
    </row>
    <row r="130" spans="1:11">
      <c r="A130" s="609">
        <f t="shared" si="16"/>
        <v>100</v>
      </c>
      <c r="B130" s="627"/>
      <c r="C130" s="627" t="s">
        <v>9</v>
      </c>
      <c r="D130" s="627"/>
      <c r="E130" s="627"/>
      <c r="F130" s="628"/>
      <c r="G130" s="621"/>
      <c r="H130" s="629">
        <f>SUM(H118:H129)</f>
        <v>0</v>
      </c>
      <c r="I130" s="629">
        <f>SUM(I118:I129)</f>
        <v>0</v>
      </c>
      <c r="J130" s="628"/>
    </row>
    <row r="131" spans="1:11">
      <c r="B131" s="630"/>
      <c r="C131" s="630"/>
      <c r="D131" s="630"/>
      <c r="E131" s="630"/>
      <c r="F131" s="631"/>
      <c r="G131" s="631"/>
      <c r="I131" s="632"/>
      <c r="J131" s="631"/>
    </row>
    <row r="132" spans="1:11">
      <c r="A132" s="609">
        <f>+A130+1</f>
        <v>101</v>
      </c>
      <c r="B132" s="609" t="s">
        <v>846</v>
      </c>
      <c r="F132" s="609" t="s">
        <v>858</v>
      </c>
      <c r="G132" s="631"/>
      <c r="I132" s="631"/>
      <c r="J132" s="626">
        <v>0</v>
      </c>
    </row>
    <row r="133" spans="1:11">
      <c r="A133" s="609">
        <f>+A132+1</f>
        <v>102</v>
      </c>
      <c r="B133" s="609" t="s">
        <v>848</v>
      </c>
      <c r="F133" s="609" t="str">
        <f>"(Line "&amp;A132&amp;" less line "&amp;A134&amp;")"</f>
        <v>(Line 101 less line 103)</v>
      </c>
      <c r="G133" s="631"/>
      <c r="I133" s="631"/>
      <c r="J133" s="633">
        <f>+J132-J134</f>
        <v>0</v>
      </c>
    </row>
    <row r="134" spans="1:11">
      <c r="A134" s="609">
        <f t="shared" ref="A134:A140" si="20">+A133+1</f>
        <v>103</v>
      </c>
      <c r="B134" s="609" t="s">
        <v>849</v>
      </c>
      <c r="F134" s="609" t="str">
        <f>"(Line "&amp;A117&amp;", Col H)"</f>
        <v>(Line 87, Col H)</v>
      </c>
      <c r="G134" s="631"/>
      <c r="I134" s="631"/>
      <c r="J134" s="622">
        <f>+J117</f>
        <v>0</v>
      </c>
    </row>
    <row r="135" spans="1:11">
      <c r="A135" s="609">
        <f t="shared" si="20"/>
        <v>104</v>
      </c>
      <c r="B135" s="609" t="s">
        <v>850</v>
      </c>
      <c r="F135" s="609" t="s">
        <v>859</v>
      </c>
      <c r="G135" s="631"/>
      <c r="I135" s="631"/>
      <c r="J135" s="644">
        <f>'A3-ADIT'!E14</f>
        <v>-2910131</v>
      </c>
    </row>
    <row r="136" spans="1:11">
      <c r="A136" s="609">
        <f t="shared" si="20"/>
        <v>105</v>
      </c>
      <c r="B136" s="609" t="str">
        <f>+B133</f>
        <v>Less non Prorated Items</v>
      </c>
      <c r="F136" s="609" t="str">
        <f>"(Line "&amp;A135&amp;" less line "&amp;A137&amp;")"</f>
        <v>(Line 104 less line 106)</v>
      </c>
      <c r="G136" s="631"/>
      <c r="I136" s="631"/>
      <c r="J136" s="633">
        <f>+J135-J137</f>
        <v>-2910131</v>
      </c>
    </row>
    <row r="137" spans="1:11">
      <c r="A137" s="609">
        <f t="shared" si="20"/>
        <v>106</v>
      </c>
      <c r="B137" s="609" t="s">
        <v>851</v>
      </c>
      <c r="F137" s="609" t="str">
        <f>"(Line "&amp;A129&amp;", Col H)"</f>
        <v>(Line 99, Col H)</v>
      </c>
      <c r="G137" s="631"/>
      <c r="I137" s="631"/>
      <c r="J137" s="622">
        <f>+J129</f>
        <v>0</v>
      </c>
    </row>
    <row r="138" spans="1:11">
      <c r="A138" s="609">
        <f t="shared" si="20"/>
        <v>107</v>
      </c>
      <c r="B138" s="609" t="s">
        <v>768</v>
      </c>
      <c r="F138" s="609" t="str">
        <f>"([Lines "&amp;A134&amp;" + "&amp;A137&amp;"] /2)+([Lines "&amp;A133&amp;" +"&amp;A136&amp;")/2])"</f>
        <v>([Lines 103 + 106] /2)+([Lines 102 +105)/2])</v>
      </c>
      <c r="G138" s="631"/>
      <c r="I138" s="618"/>
      <c r="J138" s="634">
        <f>(J134+J137)/2+(J133+J136)/2</f>
        <v>-1455065.5</v>
      </c>
    </row>
    <row r="139" spans="1:11">
      <c r="A139" s="609">
        <f t="shared" si="20"/>
        <v>108</v>
      </c>
      <c r="B139" s="609" t="s">
        <v>854</v>
      </c>
      <c r="F139" s="609" t="s">
        <v>861</v>
      </c>
      <c r="G139" s="631"/>
      <c r="I139" s="618"/>
      <c r="J139" s="626">
        <v>0</v>
      </c>
    </row>
    <row r="140" spans="1:11">
      <c r="A140" s="609">
        <f t="shared" si="20"/>
        <v>109</v>
      </c>
      <c r="B140" s="609" t="s">
        <v>864</v>
      </c>
      <c r="F140" s="609" t="str">
        <f>"(Line "&amp;A138&amp;" less line "&amp;A139&amp;")"</f>
        <v>(Line 107 less line 108)</v>
      </c>
      <c r="J140" s="635">
        <f>+J138-J139</f>
        <v>-1455065.5</v>
      </c>
    </row>
    <row r="141" spans="1:11">
      <c r="A141" s="830" t="str">
        <f>A39</f>
        <v>Worksheet P5</v>
      </c>
      <c r="B141" s="830"/>
      <c r="C141" s="830"/>
      <c r="D141" s="830"/>
      <c r="E141" s="830"/>
      <c r="F141" s="830"/>
      <c r="G141" s="830"/>
      <c r="H141" s="830"/>
      <c r="I141" s="830"/>
      <c r="J141" s="830"/>
      <c r="K141" s="830"/>
    </row>
    <row r="142" spans="1:11">
      <c r="A142" s="830" t="str">
        <f>"Excess "&amp;A40</f>
        <v>Excess Accumulated Deferred Income Taxes</v>
      </c>
      <c r="B142" s="830"/>
      <c r="C142" s="830"/>
      <c r="D142" s="830"/>
      <c r="E142" s="830"/>
      <c r="F142" s="830"/>
      <c r="G142" s="830"/>
      <c r="H142" s="830"/>
      <c r="I142" s="830"/>
      <c r="J142" s="830"/>
      <c r="K142" s="830"/>
    </row>
    <row r="143" spans="1:11">
      <c r="A143" s="830" t="str">
        <f>A41</f>
        <v>Cheyenne Light, Fuel &amp; Power</v>
      </c>
      <c r="B143" s="830"/>
      <c r="C143" s="830"/>
      <c r="D143" s="830"/>
      <c r="E143" s="830"/>
      <c r="F143" s="830"/>
      <c r="G143" s="830"/>
      <c r="H143" s="830"/>
      <c r="I143" s="830"/>
      <c r="J143" s="830"/>
      <c r="K143" s="830"/>
    </row>
    <row r="144" spans="1:11">
      <c r="J144" s="611" t="s">
        <v>987</v>
      </c>
    </row>
    <row r="145" spans="1:10">
      <c r="A145" s="646"/>
      <c r="B145" s="646"/>
      <c r="C145" s="646"/>
      <c r="D145" s="646"/>
      <c r="E145" s="646"/>
      <c r="F145" s="646"/>
      <c r="G145" s="646"/>
      <c r="H145" s="646"/>
    </row>
    <row r="146" spans="1:10">
      <c r="A146" s="609">
        <f>A140+1</f>
        <v>110</v>
      </c>
      <c r="B146" s="612" t="s">
        <v>988</v>
      </c>
      <c r="H146" s="613"/>
      <c r="I146" s="613"/>
      <c r="J146" s="613"/>
    </row>
    <row r="147" spans="1:10">
      <c r="A147" s="609">
        <f>+A146+1</f>
        <v>111</v>
      </c>
      <c r="B147" s="827" t="s">
        <v>836</v>
      </c>
      <c r="C147" s="828"/>
      <c r="D147" s="828"/>
      <c r="E147" s="828"/>
      <c r="F147" s="829"/>
      <c r="G147" s="615"/>
      <c r="H147" s="827" t="s">
        <v>837</v>
      </c>
      <c r="I147" s="828"/>
      <c r="J147" s="829"/>
    </row>
    <row r="148" spans="1:10">
      <c r="B148" s="616" t="s">
        <v>79</v>
      </c>
      <c r="C148" s="616" t="s">
        <v>80</v>
      </c>
      <c r="D148" s="616" t="s">
        <v>81</v>
      </c>
      <c r="E148" s="616" t="s">
        <v>82</v>
      </c>
      <c r="F148" s="616" t="s">
        <v>83</v>
      </c>
      <c r="G148" s="615"/>
      <c r="H148" s="616" t="s">
        <v>84</v>
      </c>
      <c r="I148" s="616" t="s">
        <v>85</v>
      </c>
      <c r="J148" s="616" t="s">
        <v>449</v>
      </c>
    </row>
    <row r="149" spans="1:10" ht="52.8">
      <c r="A149" s="609">
        <f>+A147+1</f>
        <v>112</v>
      </c>
      <c r="B149" s="617" t="s">
        <v>268</v>
      </c>
      <c r="C149" s="617" t="s">
        <v>838</v>
      </c>
      <c r="D149" s="617" t="s">
        <v>839</v>
      </c>
      <c r="E149" s="617" t="s">
        <v>840</v>
      </c>
      <c r="F149" s="617" t="s">
        <v>841</v>
      </c>
      <c r="G149" s="618"/>
      <c r="H149" s="617" t="s">
        <v>842</v>
      </c>
      <c r="I149" s="617" t="s">
        <v>843</v>
      </c>
      <c r="J149" s="617" t="s">
        <v>844</v>
      </c>
    </row>
    <row r="150" spans="1:10">
      <c r="A150" s="609">
        <f t="shared" ref="A150:A164" si="21">+A149+1</f>
        <v>113</v>
      </c>
      <c r="C150" s="618"/>
      <c r="D150" s="618"/>
      <c r="E150" s="618"/>
      <c r="F150" s="618"/>
      <c r="G150" s="618"/>
      <c r="H150" s="618"/>
      <c r="I150" s="618"/>
      <c r="J150" s="618"/>
    </row>
    <row r="151" spans="1:10">
      <c r="A151" s="609">
        <f t="shared" si="21"/>
        <v>114</v>
      </c>
      <c r="B151" s="619" t="s">
        <v>845</v>
      </c>
      <c r="C151" s="620"/>
      <c r="D151" s="621"/>
      <c r="E151" s="621"/>
      <c r="F151" s="621"/>
      <c r="G151" s="621"/>
      <c r="H151" s="622"/>
      <c r="I151" s="622"/>
      <c r="J151" s="623"/>
    </row>
    <row r="152" spans="1:10">
      <c r="A152" s="609">
        <f t="shared" si="21"/>
        <v>115</v>
      </c>
      <c r="B152" s="620" t="s">
        <v>165</v>
      </c>
      <c r="C152" s="625">
        <v>31</v>
      </c>
      <c r="D152" s="748">
        <v>0</v>
      </c>
      <c r="E152" s="748">
        <v>0</v>
      </c>
      <c r="F152" s="556">
        <f>IF(E152=0,0,D152/E152)</f>
        <v>0</v>
      </c>
      <c r="G152" s="552"/>
      <c r="H152" s="647">
        <f>'A4-Rate Base'!G111/12</f>
        <v>99757.333333333328</v>
      </c>
      <c r="I152" s="553">
        <f>+H152*F152</f>
        <v>0</v>
      </c>
      <c r="J152" s="585">
        <f t="shared" ref="J152:J163" si="22">+I152+J151</f>
        <v>0</v>
      </c>
    </row>
    <row r="153" spans="1:10">
      <c r="A153" s="609">
        <f t="shared" si="21"/>
        <v>116</v>
      </c>
      <c r="B153" s="620" t="s">
        <v>166</v>
      </c>
      <c r="C153" s="626">
        <v>28</v>
      </c>
      <c r="D153" s="748">
        <v>0</v>
      </c>
      <c r="E153" s="748">
        <v>0</v>
      </c>
      <c r="F153" s="556">
        <f t="shared" ref="F153:F163" si="23">IF(E153=0,0,D153/E153)</f>
        <v>0</v>
      </c>
      <c r="G153" s="552"/>
      <c r="H153" s="647">
        <f>H152</f>
        <v>99757.333333333328</v>
      </c>
      <c r="I153" s="553">
        <f t="shared" ref="I153:I163" si="24">+H153*F153</f>
        <v>0</v>
      </c>
      <c r="J153" s="585">
        <f t="shared" si="22"/>
        <v>0</v>
      </c>
    </row>
    <row r="154" spans="1:10">
      <c r="A154" s="609">
        <f t="shared" si="21"/>
        <v>117</v>
      </c>
      <c r="B154" s="620" t="s">
        <v>516</v>
      </c>
      <c r="C154" s="625">
        <v>31</v>
      </c>
      <c r="D154" s="748">
        <v>0</v>
      </c>
      <c r="E154" s="748">
        <v>0</v>
      </c>
      <c r="F154" s="556">
        <f t="shared" si="23"/>
        <v>0</v>
      </c>
      <c r="G154" s="552"/>
      <c r="H154" s="647">
        <f t="shared" ref="H154:H163" si="25">H153</f>
        <v>99757.333333333328</v>
      </c>
      <c r="I154" s="553">
        <f t="shared" si="24"/>
        <v>0</v>
      </c>
      <c r="J154" s="585">
        <f t="shared" si="22"/>
        <v>0</v>
      </c>
    </row>
    <row r="155" spans="1:10">
      <c r="A155" s="609">
        <f t="shared" si="21"/>
        <v>118</v>
      </c>
      <c r="B155" s="620" t="s">
        <v>167</v>
      </c>
      <c r="C155" s="625">
        <v>30</v>
      </c>
      <c r="D155" s="748">
        <v>0</v>
      </c>
      <c r="E155" s="748">
        <v>0</v>
      </c>
      <c r="F155" s="556">
        <f t="shared" si="23"/>
        <v>0</v>
      </c>
      <c r="G155" s="552"/>
      <c r="H155" s="647">
        <f t="shared" si="25"/>
        <v>99757.333333333328</v>
      </c>
      <c r="I155" s="553">
        <f t="shared" si="24"/>
        <v>0</v>
      </c>
      <c r="J155" s="585">
        <f t="shared" si="22"/>
        <v>0</v>
      </c>
    </row>
    <row r="156" spans="1:10">
      <c r="A156" s="609">
        <f t="shared" si="21"/>
        <v>119</v>
      </c>
      <c r="B156" s="620" t="s">
        <v>168</v>
      </c>
      <c r="C156" s="625">
        <v>31</v>
      </c>
      <c r="D156" s="748">
        <v>0</v>
      </c>
      <c r="E156" s="748">
        <v>0</v>
      </c>
      <c r="F156" s="556">
        <f t="shared" si="23"/>
        <v>0</v>
      </c>
      <c r="G156" s="552"/>
      <c r="H156" s="647">
        <f t="shared" si="25"/>
        <v>99757.333333333328</v>
      </c>
      <c r="I156" s="553">
        <f t="shared" si="24"/>
        <v>0</v>
      </c>
      <c r="J156" s="585">
        <f t="shared" si="22"/>
        <v>0</v>
      </c>
    </row>
    <row r="157" spans="1:10">
      <c r="A157" s="609">
        <f t="shared" si="21"/>
        <v>120</v>
      </c>
      <c r="B157" s="620" t="s">
        <v>169</v>
      </c>
      <c r="C157" s="625">
        <v>30</v>
      </c>
      <c r="D157" s="748">
        <v>0</v>
      </c>
      <c r="E157" s="748">
        <v>0</v>
      </c>
      <c r="F157" s="556">
        <f t="shared" si="23"/>
        <v>0</v>
      </c>
      <c r="G157" s="552"/>
      <c r="H157" s="647">
        <f t="shared" si="25"/>
        <v>99757.333333333328</v>
      </c>
      <c r="I157" s="553">
        <f t="shared" si="24"/>
        <v>0</v>
      </c>
      <c r="J157" s="585">
        <f t="shared" si="22"/>
        <v>0</v>
      </c>
    </row>
    <row r="158" spans="1:10">
      <c r="A158" s="609">
        <f t="shared" si="21"/>
        <v>121</v>
      </c>
      <c r="B158" s="620" t="s">
        <v>170</v>
      </c>
      <c r="C158" s="625">
        <v>31</v>
      </c>
      <c r="D158" s="748">
        <v>0</v>
      </c>
      <c r="E158" s="748">
        <v>0</v>
      </c>
      <c r="F158" s="556">
        <f t="shared" si="23"/>
        <v>0</v>
      </c>
      <c r="G158" s="552"/>
      <c r="H158" s="647">
        <f t="shared" si="25"/>
        <v>99757.333333333328</v>
      </c>
      <c r="I158" s="553">
        <f t="shared" si="24"/>
        <v>0</v>
      </c>
      <c r="J158" s="585">
        <f t="shared" si="22"/>
        <v>0</v>
      </c>
    </row>
    <row r="159" spans="1:10">
      <c r="A159" s="609">
        <f t="shared" si="21"/>
        <v>122</v>
      </c>
      <c r="B159" s="620" t="s">
        <v>517</v>
      </c>
      <c r="C159" s="625">
        <v>31</v>
      </c>
      <c r="D159" s="748">
        <v>0</v>
      </c>
      <c r="E159" s="748">
        <v>0</v>
      </c>
      <c r="F159" s="556">
        <f t="shared" si="23"/>
        <v>0</v>
      </c>
      <c r="G159" s="552"/>
      <c r="H159" s="647">
        <f t="shared" si="25"/>
        <v>99757.333333333328</v>
      </c>
      <c r="I159" s="553">
        <f t="shared" si="24"/>
        <v>0</v>
      </c>
      <c r="J159" s="585">
        <f t="shared" si="22"/>
        <v>0</v>
      </c>
    </row>
    <row r="160" spans="1:10">
      <c r="A160" s="609">
        <f t="shared" si="21"/>
        <v>123</v>
      </c>
      <c r="B160" s="620" t="s">
        <v>171</v>
      </c>
      <c r="C160" s="625">
        <v>30</v>
      </c>
      <c r="D160" s="748">
        <v>0</v>
      </c>
      <c r="E160" s="748">
        <v>0</v>
      </c>
      <c r="F160" s="556">
        <f t="shared" si="23"/>
        <v>0</v>
      </c>
      <c r="G160" s="552"/>
      <c r="H160" s="647">
        <f t="shared" si="25"/>
        <v>99757.333333333328</v>
      </c>
      <c r="I160" s="553">
        <f t="shared" si="24"/>
        <v>0</v>
      </c>
      <c r="J160" s="585">
        <f t="shared" si="22"/>
        <v>0</v>
      </c>
    </row>
    <row r="161" spans="1:14">
      <c r="A161" s="609">
        <f t="shared" si="21"/>
        <v>124</v>
      </c>
      <c r="B161" s="620" t="s">
        <v>172</v>
      </c>
      <c r="C161" s="625">
        <v>31</v>
      </c>
      <c r="D161" s="748">
        <v>0</v>
      </c>
      <c r="E161" s="748">
        <v>0</v>
      </c>
      <c r="F161" s="556">
        <f t="shared" si="23"/>
        <v>0</v>
      </c>
      <c r="G161" s="552"/>
      <c r="H161" s="647">
        <f t="shared" si="25"/>
        <v>99757.333333333328</v>
      </c>
      <c r="I161" s="553">
        <f t="shared" si="24"/>
        <v>0</v>
      </c>
      <c r="J161" s="585">
        <f t="shared" si="22"/>
        <v>0</v>
      </c>
    </row>
    <row r="162" spans="1:14">
      <c r="A162" s="609">
        <f t="shared" si="21"/>
        <v>125</v>
      </c>
      <c r="B162" s="620" t="s">
        <v>173</v>
      </c>
      <c r="C162" s="625">
        <v>30</v>
      </c>
      <c r="D162" s="748">
        <v>0</v>
      </c>
      <c r="E162" s="748">
        <v>0</v>
      </c>
      <c r="F162" s="556">
        <f t="shared" si="23"/>
        <v>0</v>
      </c>
      <c r="G162" s="552"/>
      <c r="H162" s="647">
        <f t="shared" si="25"/>
        <v>99757.333333333328</v>
      </c>
      <c r="I162" s="553">
        <f t="shared" si="24"/>
        <v>0</v>
      </c>
      <c r="J162" s="585">
        <f t="shared" si="22"/>
        <v>0</v>
      </c>
    </row>
    <row r="163" spans="1:14">
      <c r="A163" s="609">
        <f t="shared" si="21"/>
        <v>126</v>
      </c>
      <c r="B163" s="620" t="s">
        <v>518</v>
      </c>
      <c r="C163" s="625">
        <v>31</v>
      </c>
      <c r="D163" s="748">
        <v>0</v>
      </c>
      <c r="E163" s="748">
        <v>0</v>
      </c>
      <c r="F163" s="556">
        <f t="shared" si="23"/>
        <v>0</v>
      </c>
      <c r="G163" s="552"/>
      <c r="H163" s="647">
        <f t="shared" si="25"/>
        <v>99757.333333333328</v>
      </c>
      <c r="I163" s="553">
        <f t="shared" si="24"/>
        <v>0</v>
      </c>
      <c r="J163" s="585">
        <f t="shared" si="22"/>
        <v>0</v>
      </c>
      <c r="L163" s="643"/>
    </row>
    <row r="164" spans="1:14">
      <c r="A164" s="609">
        <f t="shared" si="21"/>
        <v>127</v>
      </c>
      <c r="B164" s="627"/>
      <c r="C164" s="627" t="s">
        <v>9</v>
      </c>
      <c r="D164" s="627"/>
      <c r="E164" s="627"/>
      <c r="F164" s="628"/>
      <c r="G164" s="621"/>
      <c r="H164" s="629">
        <f>SUM(H152:H163)</f>
        <v>1197088</v>
      </c>
      <c r="I164" s="629">
        <f>SUM(I152:I163)</f>
        <v>0</v>
      </c>
      <c r="J164" s="628"/>
    </row>
    <row r="165" spans="1:14">
      <c r="B165" s="630"/>
      <c r="C165" s="630"/>
      <c r="D165" s="630"/>
      <c r="E165" s="630"/>
      <c r="F165" s="631"/>
      <c r="G165" s="631"/>
      <c r="I165" s="651"/>
      <c r="J165" s="631"/>
    </row>
    <row r="166" spans="1:14">
      <c r="A166" s="609">
        <f>+A164+1</f>
        <v>128</v>
      </c>
      <c r="B166" s="609" t="s">
        <v>989</v>
      </c>
      <c r="F166" s="609" t="s">
        <v>990</v>
      </c>
      <c r="G166" s="631"/>
      <c r="I166" s="631"/>
      <c r="J166" s="626">
        <v>0</v>
      </c>
      <c r="M166" s="643"/>
      <c r="N166" s="645"/>
    </row>
    <row r="167" spans="1:14">
      <c r="A167" s="609">
        <f t="shared" ref="A167:A173" si="26">+A166+1</f>
        <v>129</v>
      </c>
      <c r="B167" s="609" t="s">
        <v>900</v>
      </c>
      <c r="F167" s="609" t="s">
        <v>918</v>
      </c>
      <c r="G167" s="631"/>
      <c r="I167" s="631"/>
      <c r="J167" s="626">
        <v>0</v>
      </c>
    </row>
    <row r="168" spans="1:14">
      <c r="A168" s="609">
        <f t="shared" si="26"/>
        <v>130</v>
      </c>
      <c r="B168" s="609" t="s">
        <v>991</v>
      </c>
      <c r="F168" s="609" t="s">
        <v>992</v>
      </c>
      <c r="G168" s="631"/>
      <c r="I168" s="631"/>
      <c r="J168" s="644">
        <f>J166+J167</f>
        <v>0</v>
      </c>
    </row>
    <row r="169" spans="1:14">
      <c r="A169" s="609">
        <f t="shared" si="26"/>
        <v>131</v>
      </c>
      <c r="B169" s="609" t="s">
        <v>993</v>
      </c>
      <c r="F169" s="619" t="s">
        <v>994</v>
      </c>
      <c r="G169" s="631"/>
      <c r="I169" s="631"/>
      <c r="J169" s="633">
        <f>J168</f>
        <v>0</v>
      </c>
      <c r="L169" s="643"/>
    </row>
    <row r="170" spans="1:14">
      <c r="A170" s="609">
        <f t="shared" si="26"/>
        <v>132</v>
      </c>
      <c r="B170" s="609" t="s">
        <v>851</v>
      </c>
      <c r="F170" s="609" t="s">
        <v>1008</v>
      </c>
      <c r="G170" s="631"/>
      <c r="I170" s="618"/>
      <c r="J170" s="634">
        <f>J163</f>
        <v>0</v>
      </c>
    </row>
    <row r="171" spans="1:14">
      <c r="A171" s="609">
        <f t="shared" si="26"/>
        <v>133</v>
      </c>
      <c r="B171" s="609" t="s">
        <v>901</v>
      </c>
      <c r="F171" s="609" t="s">
        <v>995</v>
      </c>
      <c r="G171" s="631"/>
      <c r="I171" s="618"/>
      <c r="J171" s="644">
        <f>J169+J170</f>
        <v>0</v>
      </c>
    </row>
    <row r="172" spans="1:14">
      <c r="A172" s="609">
        <f t="shared" si="26"/>
        <v>134</v>
      </c>
      <c r="B172" s="609" t="s">
        <v>854</v>
      </c>
      <c r="F172" s="609" t="s">
        <v>918</v>
      </c>
      <c r="G172" s="631"/>
      <c r="I172" s="618"/>
      <c r="J172" s="644">
        <v>0</v>
      </c>
    </row>
    <row r="173" spans="1:14">
      <c r="A173" s="609">
        <f t="shared" si="26"/>
        <v>135</v>
      </c>
      <c r="B173" s="609" t="s">
        <v>1000</v>
      </c>
      <c r="F173" s="609" t="s">
        <v>996</v>
      </c>
      <c r="J173" s="645">
        <f>J171-J172</f>
        <v>0</v>
      </c>
    </row>
    <row r="174" spans="1:14">
      <c r="A174" s="609">
        <v>127</v>
      </c>
      <c r="B174" s="609" t="s">
        <v>1007</v>
      </c>
      <c r="J174" s="653">
        <v>7.9579999999999998E-2</v>
      </c>
    </row>
    <row r="175" spans="1:14">
      <c r="A175" s="609">
        <v>128</v>
      </c>
      <c r="B175" s="612" t="s">
        <v>864</v>
      </c>
      <c r="J175" s="635">
        <f>J173*J174</f>
        <v>0</v>
      </c>
      <c r="L175" s="643"/>
      <c r="M175" s="645"/>
      <c r="N175" s="643"/>
    </row>
    <row r="176" spans="1:14">
      <c r="J176" s="649"/>
      <c r="M176" s="643"/>
      <c r="N176" s="643"/>
    </row>
    <row r="177" spans="10:12">
      <c r="J177" s="650"/>
      <c r="L177" s="650"/>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F161"/>
  <sheetViews>
    <sheetView workbookViewId="0">
      <selection activeCell="A52" sqref="A52"/>
    </sheetView>
  </sheetViews>
  <sheetFormatPr defaultColWidth="8.7265625" defaultRowHeight="13.2"/>
  <cols>
    <col min="1" max="1" width="5.7265625" style="367" bestFit="1" customWidth="1"/>
    <col min="2" max="2" width="50.26953125" style="367" customWidth="1"/>
    <col min="3" max="3" width="19.54296875" style="369" bestFit="1" customWidth="1"/>
    <col min="4" max="4" width="12.08984375" style="372" customWidth="1"/>
    <col min="5" max="5" width="7.54296875" style="367" bestFit="1" customWidth="1"/>
    <col min="6" max="16384" width="8.7265625" style="367"/>
  </cols>
  <sheetData>
    <row r="1" spans="1:6">
      <c r="A1" s="784" t="s">
        <v>736</v>
      </c>
      <c r="B1" s="784"/>
      <c r="C1" s="784"/>
      <c r="D1" s="784"/>
      <c r="E1" s="784"/>
      <c r="F1" s="216"/>
    </row>
    <row r="2" spans="1:6">
      <c r="A2" s="784" t="s">
        <v>737</v>
      </c>
      <c r="B2" s="784"/>
      <c r="C2" s="784"/>
      <c r="D2" s="784"/>
      <c r="E2" s="784"/>
      <c r="F2" s="216"/>
    </row>
    <row r="3" spans="1:6">
      <c r="A3" s="785" t="str">
        <f>'Act Att-H'!C7</f>
        <v>Cheyenne Light, Fuel &amp; Power</v>
      </c>
      <c r="B3" s="785"/>
      <c r="C3" s="785"/>
      <c r="D3" s="785"/>
      <c r="E3" s="785"/>
      <c r="F3" s="228"/>
    </row>
    <row r="4" spans="1:6" ht="12.75" customHeight="1">
      <c r="A4" s="368"/>
      <c r="D4" s="370" t="s">
        <v>241</v>
      </c>
      <c r="E4" s="370"/>
    </row>
    <row r="6" spans="1:6">
      <c r="A6" s="432" t="s">
        <v>507</v>
      </c>
      <c r="B6" s="432" t="s">
        <v>191</v>
      </c>
      <c r="C6" s="377" t="s">
        <v>578</v>
      </c>
      <c r="D6" s="433" t="s">
        <v>7</v>
      </c>
    </row>
    <row r="7" spans="1:6">
      <c r="C7" s="440"/>
    </row>
    <row r="8" spans="1:6">
      <c r="A8" s="369">
        <v>1</v>
      </c>
      <c r="B8" s="371" t="s">
        <v>787</v>
      </c>
      <c r="C8" s="440"/>
    </row>
    <row r="9" spans="1:6">
      <c r="A9" s="369">
        <f>A8+1</f>
        <v>2</v>
      </c>
      <c r="B9" s="373" t="s">
        <v>735</v>
      </c>
      <c r="C9" s="440" t="s">
        <v>548</v>
      </c>
      <c r="D9" s="749">
        <f>100356+224713+62025+0+227003+582-148944+87995</f>
        <v>553730</v>
      </c>
    </row>
    <row r="10" spans="1:6">
      <c r="A10" s="369">
        <f t="shared" ref="A10:A41" si="0">A9+1</f>
        <v>3</v>
      </c>
      <c r="B10" s="375" t="s">
        <v>734</v>
      </c>
      <c r="C10" s="440" t="s">
        <v>738</v>
      </c>
      <c r="D10" s="749">
        <v>0</v>
      </c>
    </row>
    <row r="11" spans="1:6">
      <c r="A11" s="369">
        <f t="shared" si="0"/>
        <v>4</v>
      </c>
      <c r="B11" s="376" t="s">
        <v>733</v>
      </c>
      <c r="C11" s="440" t="s">
        <v>739</v>
      </c>
      <c r="D11" s="749">
        <v>227003</v>
      </c>
    </row>
    <row r="12" spans="1:6">
      <c r="A12" s="369">
        <f t="shared" si="0"/>
        <v>5</v>
      </c>
      <c r="B12" s="376" t="s">
        <v>732</v>
      </c>
      <c r="C12" s="440" t="s">
        <v>740</v>
      </c>
      <c r="D12" s="749">
        <v>582</v>
      </c>
    </row>
    <row r="13" spans="1:6">
      <c r="A13" s="369">
        <f t="shared" si="0"/>
        <v>6</v>
      </c>
      <c r="B13" s="376" t="s">
        <v>731</v>
      </c>
      <c r="C13" s="440" t="s">
        <v>741</v>
      </c>
      <c r="D13" s="749">
        <v>-148944</v>
      </c>
    </row>
    <row r="14" spans="1:6">
      <c r="A14" s="369">
        <f t="shared" si="0"/>
        <v>7</v>
      </c>
      <c r="B14" s="376" t="s">
        <v>730</v>
      </c>
      <c r="C14" s="440" t="s">
        <v>742</v>
      </c>
      <c r="D14" s="749">
        <v>87995</v>
      </c>
    </row>
    <row r="15" spans="1:6">
      <c r="A15" s="369">
        <f t="shared" si="0"/>
        <v>8</v>
      </c>
      <c r="B15" s="436" t="s">
        <v>784</v>
      </c>
      <c r="C15" s="751" t="s">
        <v>1215</v>
      </c>
      <c r="D15" s="435">
        <f>D9-D10-D11-D12-D13-D14</f>
        <v>387094</v>
      </c>
    </row>
    <row r="16" spans="1:6">
      <c r="A16" s="369">
        <f t="shared" si="0"/>
        <v>9</v>
      </c>
      <c r="B16" s="373"/>
      <c r="D16" s="374"/>
    </row>
    <row r="17" spans="1:6">
      <c r="A17" s="369">
        <f t="shared" si="0"/>
        <v>10</v>
      </c>
      <c r="B17" s="373" t="s">
        <v>795</v>
      </c>
      <c r="C17" s="440" t="s">
        <v>807</v>
      </c>
      <c r="D17" s="174">
        <f>'A1-RevCred'!H48</f>
        <v>0</v>
      </c>
    </row>
    <row r="18" spans="1:6">
      <c r="A18" s="369">
        <f t="shared" si="0"/>
        <v>11</v>
      </c>
      <c r="B18" s="373"/>
      <c r="D18" s="374"/>
    </row>
    <row r="19" spans="1:6">
      <c r="A19" s="369">
        <f t="shared" si="0"/>
        <v>12</v>
      </c>
      <c r="B19" s="373" t="s">
        <v>797</v>
      </c>
      <c r="C19" s="440" t="s">
        <v>1216</v>
      </c>
      <c r="D19" s="442">
        <f>D15-D17</f>
        <v>387094</v>
      </c>
    </row>
    <row r="20" spans="1:6">
      <c r="A20" s="369">
        <f t="shared" si="0"/>
        <v>13</v>
      </c>
      <c r="B20" s="373"/>
      <c r="C20" s="440"/>
      <c r="D20" s="441"/>
    </row>
    <row r="21" spans="1:6">
      <c r="A21" s="369">
        <f t="shared" si="0"/>
        <v>14</v>
      </c>
      <c r="B21" s="371" t="s">
        <v>796</v>
      </c>
      <c r="D21" s="374"/>
    </row>
    <row r="22" spans="1:6">
      <c r="A22" s="369">
        <f t="shared" si="0"/>
        <v>15</v>
      </c>
      <c r="B22" s="240" t="s">
        <v>791</v>
      </c>
      <c r="C22" s="440" t="s">
        <v>794</v>
      </c>
      <c r="D22" s="438">
        <f>D15</f>
        <v>387094</v>
      </c>
    </row>
    <row r="23" spans="1:6">
      <c r="A23" s="369">
        <f t="shared" si="0"/>
        <v>16</v>
      </c>
      <c r="B23" s="240" t="s">
        <v>826</v>
      </c>
      <c r="C23" s="440" t="s">
        <v>828</v>
      </c>
      <c r="D23" s="434">
        <v>318876</v>
      </c>
    </row>
    <row r="24" spans="1:6">
      <c r="A24" s="369">
        <f t="shared" si="0"/>
        <v>17</v>
      </c>
      <c r="B24" s="240" t="s">
        <v>286</v>
      </c>
      <c r="C24" s="440" t="s">
        <v>798</v>
      </c>
      <c r="D24" s="439">
        <f>D22-D23</f>
        <v>68218</v>
      </c>
    </row>
    <row r="25" spans="1:6" s="240" customFormat="1">
      <c r="A25" s="369">
        <f t="shared" si="0"/>
        <v>18</v>
      </c>
      <c r="B25" s="240" t="s">
        <v>792</v>
      </c>
      <c r="C25" s="244" t="s">
        <v>818</v>
      </c>
      <c r="D25" s="265">
        <f>'TU-TrueUp'!H53</f>
        <v>0</v>
      </c>
    </row>
    <row r="26" spans="1:6" s="240" customFormat="1">
      <c r="A26" s="369">
        <f t="shared" si="0"/>
        <v>19</v>
      </c>
      <c r="B26" s="240" t="s">
        <v>793</v>
      </c>
      <c r="C26" s="240" t="s">
        <v>947</v>
      </c>
      <c r="D26" s="267">
        <f>D25*D24*24/12</f>
        <v>0</v>
      </c>
    </row>
    <row r="27" spans="1:6" s="240" customFormat="1">
      <c r="A27" s="369">
        <f t="shared" si="0"/>
        <v>20</v>
      </c>
      <c r="B27" s="244" t="s">
        <v>554</v>
      </c>
      <c r="C27" s="244" t="s">
        <v>799</v>
      </c>
      <c r="D27" s="443">
        <f>(D24+D26)</f>
        <v>68218</v>
      </c>
      <c r="E27" s="241"/>
    </row>
    <row r="28" spans="1:6" s="240" customFormat="1">
      <c r="A28" s="369">
        <f t="shared" si="0"/>
        <v>21</v>
      </c>
      <c r="B28" s="243"/>
      <c r="C28" s="244"/>
      <c r="E28" s="241"/>
      <c r="F28" s="437"/>
    </row>
    <row r="29" spans="1:6" s="240" customFormat="1" ht="13.8" thickBot="1">
      <c r="A29" s="369">
        <f t="shared" si="0"/>
        <v>22</v>
      </c>
      <c r="B29" s="243" t="s">
        <v>790</v>
      </c>
      <c r="C29" s="244" t="s">
        <v>827</v>
      </c>
      <c r="D29" s="447">
        <f>D19+D27</f>
        <v>455312</v>
      </c>
      <c r="E29" s="241"/>
      <c r="F29" s="437"/>
    </row>
    <row r="30" spans="1:6" s="240" customFormat="1" ht="13.8" thickTop="1">
      <c r="A30" s="369">
        <f t="shared" si="0"/>
        <v>23</v>
      </c>
      <c r="B30" s="243"/>
      <c r="C30" s="244"/>
      <c r="E30" s="241"/>
      <c r="F30" s="437"/>
    </row>
    <row r="31" spans="1:6">
      <c r="A31" s="369">
        <f t="shared" si="0"/>
        <v>24</v>
      </c>
      <c r="B31" s="371" t="s">
        <v>197</v>
      </c>
      <c r="C31" s="71"/>
      <c r="D31" s="107"/>
      <c r="E31" s="71"/>
      <c r="F31" s="71"/>
    </row>
    <row r="32" spans="1:6">
      <c r="A32" s="369">
        <f t="shared" si="0"/>
        <v>25</v>
      </c>
      <c r="B32" s="71" t="s">
        <v>255</v>
      </c>
      <c r="C32" s="103" t="s">
        <v>568</v>
      </c>
      <c r="D32" s="174" t="e">
        <f>'P3-Divisor'!G24</f>
        <v>#DIV/0!</v>
      </c>
      <c r="E32" s="71"/>
      <c r="F32" s="71"/>
    </row>
    <row r="33" spans="1:6">
      <c r="A33" s="369">
        <f t="shared" si="0"/>
        <v>26</v>
      </c>
      <c r="B33" s="71"/>
      <c r="C33" s="107"/>
      <c r="D33" s="107"/>
      <c r="E33" s="107"/>
      <c r="F33" s="107"/>
    </row>
    <row r="34" spans="1:6">
      <c r="A34" s="369">
        <f t="shared" si="0"/>
        <v>27</v>
      </c>
      <c r="B34" s="371" t="s">
        <v>152</v>
      </c>
      <c r="C34" s="107"/>
      <c r="D34" s="107"/>
      <c r="E34" s="107"/>
      <c r="F34" s="107"/>
    </row>
    <row r="35" spans="1:6">
      <c r="A35" s="369">
        <f t="shared" si="0"/>
        <v>28</v>
      </c>
      <c r="B35" s="71" t="s">
        <v>256</v>
      </c>
      <c r="C35" s="71"/>
      <c r="D35" s="577" t="e">
        <f>ROUND(D29/D32,2)</f>
        <v>#DIV/0!</v>
      </c>
      <c r="E35" s="71" t="s">
        <v>245</v>
      </c>
      <c r="F35" s="107"/>
    </row>
    <row r="36" spans="1:6">
      <c r="A36" s="369">
        <f t="shared" si="0"/>
        <v>29</v>
      </c>
      <c r="B36" s="71" t="s">
        <v>257</v>
      </c>
      <c r="C36" s="71" t="s">
        <v>788</v>
      </c>
      <c r="D36" s="577" t="e">
        <f>ROUND(D35/12,2)</f>
        <v>#DIV/0!</v>
      </c>
      <c r="E36" s="71" t="s">
        <v>246</v>
      </c>
      <c r="F36" s="107"/>
    </row>
    <row r="37" spans="1:6">
      <c r="A37" s="369">
        <f t="shared" si="0"/>
        <v>30</v>
      </c>
      <c r="B37" s="71" t="s">
        <v>258</v>
      </c>
      <c r="C37" s="71" t="s">
        <v>789</v>
      </c>
      <c r="D37" s="577" t="e">
        <f>ROUND(D35/52,2)</f>
        <v>#DIV/0!</v>
      </c>
      <c r="E37" s="71" t="s">
        <v>247</v>
      </c>
      <c r="F37" s="107"/>
    </row>
    <row r="38" spans="1:6">
      <c r="A38" s="369">
        <f t="shared" si="0"/>
        <v>31</v>
      </c>
      <c r="B38" s="71" t="s">
        <v>259</v>
      </c>
      <c r="C38" s="71" t="s">
        <v>248</v>
      </c>
      <c r="D38" s="578" t="e">
        <f>+D37/6</f>
        <v>#DIV/0!</v>
      </c>
      <c r="E38" s="71" t="s">
        <v>249</v>
      </c>
      <c r="F38" s="107"/>
    </row>
    <row r="39" spans="1:6">
      <c r="A39" s="369">
        <f t="shared" si="0"/>
        <v>32</v>
      </c>
      <c r="B39" s="71" t="s">
        <v>260</v>
      </c>
      <c r="C39" s="71" t="s">
        <v>250</v>
      </c>
      <c r="D39" s="578" t="e">
        <f>+D37/7</f>
        <v>#DIV/0!</v>
      </c>
      <c r="E39" s="71" t="s">
        <v>249</v>
      </c>
      <c r="F39" s="107"/>
    </row>
    <row r="40" spans="1:6">
      <c r="A40" s="369">
        <f t="shared" si="0"/>
        <v>33</v>
      </c>
      <c r="B40" s="71" t="s">
        <v>261</v>
      </c>
      <c r="C40" s="71" t="s">
        <v>251</v>
      </c>
      <c r="D40" s="577" t="e">
        <f>+D38/16*1000</f>
        <v>#DIV/0!</v>
      </c>
      <c r="E40" s="71" t="s">
        <v>895</v>
      </c>
      <c r="F40" s="107"/>
    </row>
    <row r="41" spans="1:6">
      <c r="A41" s="369">
        <f t="shared" si="0"/>
        <v>34</v>
      </c>
      <c r="B41" s="71" t="s">
        <v>262</v>
      </c>
      <c r="C41" s="71" t="s">
        <v>252</v>
      </c>
      <c r="D41" s="577" t="e">
        <f>+D39/24*1000</f>
        <v>#DIV/0!</v>
      </c>
      <c r="E41" s="71" t="s">
        <v>895</v>
      </c>
      <c r="F41" s="107"/>
    </row>
    <row r="42" spans="1:6">
      <c r="A42" s="369"/>
      <c r="B42" s="71"/>
      <c r="C42" s="71"/>
      <c r="D42" s="579"/>
      <c r="E42" s="71"/>
      <c r="F42" s="107"/>
    </row>
    <row r="43" spans="1:6">
      <c r="A43" s="369"/>
      <c r="B43" s="373"/>
      <c r="C43" s="431"/>
      <c r="D43" s="374"/>
    </row>
    <row r="44" spans="1:6">
      <c r="A44" s="206" t="s">
        <v>174</v>
      </c>
      <c r="B44" s="373"/>
      <c r="D44" s="374"/>
    </row>
    <row r="45" spans="1:6">
      <c r="A45" s="421" t="s">
        <v>79</v>
      </c>
      <c r="B45" s="837" t="s">
        <v>829</v>
      </c>
      <c r="C45" s="837"/>
      <c r="D45" s="837"/>
    </row>
    <row r="46" spans="1:6">
      <c r="A46" s="369" t="s">
        <v>80</v>
      </c>
      <c r="B46" s="837" t="s">
        <v>830</v>
      </c>
      <c r="C46" s="837"/>
      <c r="D46" s="837"/>
    </row>
    <row r="47" spans="1:6">
      <c r="A47" s="369"/>
      <c r="B47" s="835"/>
      <c r="C47" s="835"/>
      <c r="D47" s="835"/>
    </row>
    <row r="48" spans="1:6">
      <c r="A48" s="369"/>
      <c r="B48" s="549"/>
      <c r="C48" s="549"/>
      <c r="D48" s="550"/>
    </row>
    <row r="49" spans="1:5">
      <c r="A49" s="369"/>
      <c r="B49" s="548"/>
      <c r="C49" s="549"/>
      <c r="D49" s="550"/>
    </row>
    <row r="50" spans="1:5">
      <c r="A50" s="369"/>
      <c r="B50" s="836"/>
      <c r="C50" s="836"/>
      <c r="D50" s="836"/>
    </row>
    <row r="51" spans="1:5">
      <c r="A51" s="369"/>
      <c r="B51" s="373"/>
      <c r="D51" s="378"/>
      <c r="E51" s="379"/>
    </row>
    <row r="52" spans="1:5">
      <c r="A52" s="369"/>
      <c r="B52" s="373"/>
      <c r="D52" s="378"/>
    </row>
    <row r="53" spans="1:5">
      <c r="A53" s="369"/>
      <c r="B53" s="373"/>
      <c r="D53" s="378"/>
    </row>
    <row r="54" spans="1:5">
      <c r="A54" s="369"/>
      <c r="B54" s="373"/>
      <c r="D54" s="378"/>
    </row>
    <row r="55" spans="1:5">
      <c r="A55" s="369"/>
      <c r="D55" s="374"/>
    </row>
    <row r="56" spans="1:5">
      <c r="A56" s="369"/>
      <c r="B56" s="380"/>
      <c r="D56" s="374"/>
    </row>
    <row r="57" spans="1:5">
      <c r="A57" s="369"/>
      <c r="B57" s="380"/>
      <c r="D57" s="374"/>
    </row>
    <row r="58" spans="1:5">
      <c r="A58" s="369"/>
      <c r="B58" s="380"/>
      <c r="D58" s="374"/>
    </row>
    <row r="59" spans="1:5">
      <c r="A59" s="369"/>
      <c r="B59" s="380"/>
      <c r="D59" s="374"/>
    </row>
    <row r="60" spans="1:5">
      <c r="A60" s="369"/>
      <c r="B60" s="380"/>
      <c r="D60" s="374"/>
    </row>
    <row r="61" spans="1:5">
      <c r="A61" s="369"/>
      <c r="B61" s="380"/>
      <c r="D61" s="374"/>
    </row>
    <row r="62" spans="1:5">
      <c r="A62" s="369"/>
      <c r="B62" s="380"/>
      <c r="D62" s="374"/>
    </row>
    <row r="63" spans="1:5">
      <c r="A63" s="369"/>
      <c r="B63" s="380"/>
      <c r="D63" s="374"/>
    </row>
    <row r="64" spans="1:5">
      <c r="A64" s="369"/>
      <c r="B64" s="380"/>
      <c r="D64" s="374"/>
    </row>
    <row r="65" spans="1:4">
      <c r="A65" s="369"/>
      <c r="B65" s="380"/>
      <c r="D65" s="374"/>
    </row>
    <row r="66" spans="1:4">
      <c r="A66" s="369"/>
      <c r="B66" s="373"/>
      <c r="D66" s="374"/>
    </row>
    <row r="67" spans="1:4">
      <c r="A67" s="369"/>
      <c r="B67" s="373"/>
      <c r="D67" s="374"/>
    </row>
    <row r="68" spans="1:4">
      <c r="A68" s="369"/>
      <c r="B68" s="373"/>
      <c r="D68" s="374"/>
    </row>
    <row r="69" spans="1:4">
      <c r="A69" s="369"/>
      <c r="B69" s="373"/>
      <c r="D69" s="374"/>
    </row>
    <row r="70" spans="1:4">
      <c r="A70" s="369"/>
      <c r="B70" s="373"/>
      <c r="D70" s="374"/>
    </row>
    <row r="71" spans="1:4">
      <c r="A71" s="369"/>
      <c r="B71" s="377"/>
      <c r="D71" s="374"/>
    </row>
    <row r="72" spans="1:4">
      <c r="A72" s="369"/>
      <c r="B72" s="373"/>
    </row>
    <row r="73" spans="1:4">
      <c r="A73" s="369"/>
      <c r="B73" s="373"/>
    </row>
    <row r="74" spans="1:4">
      <c r="A74" s="369"/>
      <c r="B74" s="373"/>
      <c r="D74" s="378"/>
    </row>
    <row r="75" spans="1:4">
      <c r="A75" s="369"/>
      <c r="B75" s="373"/>
      <c r="D75" s="378"/>
    </row>
    <row r="76" spans="1:4">
      <c r="A76" s="369"/>
      <c r="B76" s="373"/>
      <c r="D76" s="378"/>
    </row>
    <row r="77" spans="1:4">
      <c r="A77" s="369"/>
      <c r="B77" s="373"/>
      <c r="D77" s="378"/>
    </row>
    <row r="78" spans="1:4">
      <c r="A78" s="369"/>
      <c r="B78" s="373"/>
      <c r="D78" s="374"/>
    </row>
    <row r="79" spans="1:4">
      <c r="A79" s="369"/>
      <c r="B79" s="373"/>
      <c r="D79" s="374"/>
    </row>
    <row r="80" spans="1:4">
      <c r="A80" s="369"/>
      <c r="B80" s="373"/>
      <c r="D80" s="374"/>
    </row>
    <row r="150" spans="1:6" s="369" customFormat="1">
      <c r="A150" s="367"/>
      <c r="B150" s="367"/>
      <c r="D150" s="372"/>
      <c r="E150" s="367"/>
      <c r="F150" s="367"/>
    </row>
    <row r="161" spans="5:6">
      <c r="E161" s="369"/>
      <c r="F161" s="369"/>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K275"/>
  <sheetViews>
    <sheetView zoomScaleNormal="100" workbookViewId="0">
      <selection activeCell="A262" sqref="A262"/>
    </sheetView>
  </sheetViews>
  <sheetFormatPr defaultColWidth="8.7265625" defaultRowHeight="13.2"/>
  <cols>
    <col min="1" max="1" width="4.26953125" style="103" customWidth="1"/>
    <col min="2" max="2" width="39.26953125" style="103" customWidth="1"/>
    <col min="3" max="3" width="36.7265625" style="103" customWidth="1"/>
    <col min="4" max="4" width="10.7265625" style="103" customWidth="1"/>
    <col min="5" max="5" width="3.81640625" style="103" customWidth="1"/>
    <col min="6" max="6" width="3.54296875" style="103" customWidth="1"/>
    <col min="7" max="7" width="9.7265625" style="103" customWidth="1"/>
    <col min="8" max="8" width="3.26953125" style="103" bestFit="1" customWidth="1"/>
    <col min="9" max="9" width="10.7265625" style="103" customWidth="1"/>
    <col min="10" max="10" width="1.453125" style="103" customWidth="1"/>
    <col min="11" max="11" width="6" style="103" customWidth="1"/>
    <col min="12" max="12" width="10.26953125" style="103" customWidth="1"/>
    <col min="13" max="16384" width="8.7265625" style="103"/>
  </cols>
  <sheetData>
    <row r="1" spans="1:11">
      <c r="B1" s="71"/>
      <c r="C1" s="71"/>
      <c r="D1" s="104"/>
      <c r="E1" s="71"/>
      <c r="F1" s="71"/>
      <c r="G1" s="71"/>
      <c r="H1" s="71"/>
      <c r="I1" s="774" t="s">
        <v>479</v>
      </c>
      <c r="J1" s="774"/>
      <c r="K1" s="774"/>
    </row>
    <row r="2" spans="1:11">
      <c r="B2" s="71"/>
      <c r="C2" s="71"/>
      <c r="D2" s="104"/>
      <c r="E2" s="71"/>
      <c r="F2" s="71"/>
      <c r="G2" s="71"/>
      <c r="H2" s="71"/>
      <c r="I2" s="71"/>
      <c r="J2" s="773" t="s">
        <v>241</v>
      </c>
      <c r="K2" s="773"/>
    </row>
    <row r="3" spans="1:11">
      <c r="B3" s="71"/>
      <c r="D3" s="104"/>
      <c r="E3" s="71"/>
      <c r="F3" s="71"/>
      <c r="G3" s="71"/>
      <c r="H3" s="71"/>
      <c r="I3" s="71"/>
      <c r="J3" s="71"/>
      <c r="K3" s="105"/>
    </row>
    <row r="4" spans="1:11">
      <c r="B4" s="104" t="s">
        <v>0</v>
      </c>
      <c r="C4" s="78" t="s">
        <v>122</v>
      </c>
      <c r="E4" s="71"/>
      <c r="F4" s="71"/>
      <c r="G4" s="71"/>
      <c r="H4" s="71"/>
      <c r="I4" s="71"/>
      <c r="J4" s="71"/>
      <c r="K4" s="106" t="s">
        <v>1234</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125</v>
      </c>
      <c r="C10" s="71"/>
      <c r="D10" s="107"/>
      <c r="E10" s="71"/>
      <c r="F10" s="71"/>
      <c r="G10" s="71"/>
      <c r="H10" s="71"/>
      <c r="I10" s="112">
        <f>'Act Att-H'!I155</f>
        <v>11149374.635642864</v>
      </c>
      <c r="J10" s="71"/>
      <c r="K10" s="71"/>
    </row>
    <row r="11" spans="1:11">
      <c r="A11" s="78"/>
      <c r="B11" s="71"/>
      <c r="C11" s="71"/>
      <c r="D11" s="71"/>
      <c r="E11" s="71"/>
      <c r="F11" s="71"/>
      <c r="G11" s="71"/>
      <c r="H11" s="71"/>
      <c r="I11" s="107"/>
      <c r="J11" s="71"/>
      <c r="K11" s="71"/>
    </row>
    <row r="12" spans="1:11" ht="15.75" customHeight="1" thickBot="1">
      <c r="A12" s="78" t="s">
        <v>2</v>
      </c>
      <c r="B12" s="71" t="s">
        <v>8</v>
      </c>
      <c r="C12" s="107" t="s">
        <v>463</v>
      </c>
      <c r="D12" s="111" t="s">
        <v>9</v>
      </c>
      <c r="E12" s="107"/>
      <c r="F12" s="775" t="s">
        <v>10</v>
      </c>
      <c r="G12" s="775"/>
      <c r="H12" s="71"/>
      <c r="I12" s="107"/>
      <c r="J12" s="71"/>
      <c r="K12" s="71"/>
    </row>
    <row r="13" spans="1:11">
      <c r="A13" s="78">
        <v>2</v>
      </c>
      <c r="B13" s="71" t="s">
        <v>12</v>
      </c>
      <c r="C13" s="107" t="s">
        <v>652</v>
      </c>
      <c r="D13" s="174">
        <f>'A1-RevCred'!J12</f>
        <v>80644.325484651577</v>
      </c>
      <c r="E13" s="107"/>
      <c r="F13" s="107" t="s">
        <v>11</v>
      </c>
      <c r="G13" s="114">
        <f>$I$174</f>
        <v>0.94993800079121415</v>
      </c>
      <c r="H13" s="107"/>
      <c r="I13" s="63">
        <f>+G13*D13</f>
        <v>76607.109326045887</v>
      </c>
      <c r="J13" s="71"/>
      <c r="K13" s="71"/>
    </row>
    <row r="14" spans="1:11">
      <c r="A14" s="78">
        <v>3</v>
      </c>
      <c r="B14" s="71" t="s">
        <v>110</v>
      </c>
      <c r="C14" s="107" t="s">
        <v>808</v>
      </c>
      <c r="D14" s="174">
        <f>'A1-RevCred'!F48</f>
        <v>44</v>
      </c>
      <c r="E14" s="107"/>
      <c r="F14" s="115" t="str">
        <f t="shared" ref="F14" si="0">+F13</f>
        <v>TP</v>
      </c>
      <c r="G14" s="114">
        <f>$I$174</f>
        <v>0.94993800079121415</v>
      </c>
      <c r="H14" s="107"/>
      <c r="I14" s="63">
        <f>+G14*D14</f>
        <v>41.797272034813425</v>
      </c>
      <c r="J14" s="71"/>
      <c r="K14" s="71"/>
    </row>
    <row r="15" spans="1:11">
      <c r="A15" s="78">
        <v>4</v>
      </c>
      <c r="B15" s="176" t="s">
        <v>569</v>
      </c>
      <c r="C15" s="107"/>
      <c r="D15" s="175"/>
      <c r="E15" s="107"/>
      <c r="F15" s="115"/>
      <c r="G15" s="114"/>
      <c r="H15" s="107"/>
      <c r="I15" s="63"/>
      <c r="J15" s="71"/>
      <c r="K15" s="71"/>
    </row>
    <row r="16" spans="1:11" ht="13.8" thickBot="1">
      <c r="A16" s="78">
        <v>5</v>
      </c>
      <c r="B16" s="176" t="s">
        <v>569</v>
      </c>
      <c r="C16" s="107"/>
      <c r="D16" s="175"/>
      <c r="E16" s="107"/>
      <c r="F16" s="115"/>
      <c r="G16" s="114"/>
      <c r="H16" s="107"/>
      <c r="I16" s="64"/>
      <c r="J16" s="71"/>
      <c r="K16" s="71"/>
    </row>
    <row r="17" spans="1:11">
      <c r="A17" s="78">
        <v>6</v>
      </c>
      <c r="B17" s="71" t="s">
        <v>91</v>
      </c>
      <c r="C17" s="71"/>
      <c r="D17" s="117" t="s">
        <v>2</v>
      </c>
      <c r="E17" s="107"/>
      <c r="F17" s="107"/>
      <c r="G17" s="118"/>
      <c r="H17" s="107"/>
      <c r="I17" s="63">
        <f>SUM(I13:I16)</f>
        <v>76648.906598080706</v>
      </c>
      <c r="J17" s="71"/>
      <c r="K17" s="71"/>
    </row>
    <row r="18" spans="1:11">
      <c r="A18" s="78"/>
      <c r="B18" s="71"/>
      <c r="C18" s="71"/>
      <c r="I18" s="63"/>
      <c r="J18" s="71"/>
      <c r="K18" s="71"/>
    </row>
    <row r="19" spans="1:11" ht="13.8" thickBot="1">
      <c r="A19" s="78">
        <v>7</v>
      </c>
      <c r="B19" s="71" t="s">
        <v>13</v>
      </c>
      <c r="C19" s="71" t="s">
        <v>817</v>
      </c>
      <c r="D19" s="117"/>
      <c r="E19" s="107"/>
      <c r="F19" s="107"/>
      <c r="G19" s="107"/>
      <c r="H19" s="107"/>
      <c r="I19" s="119">
        <f>I10-I17</f>
        <v>11072725.729044784</v>
      </c>
      <c r="J19" s="71"/>
      <c r="K19" s="71"/>
    </row>
    <row r="20" spans="1:11" ht="13.8" thickTop="1">
      <c r="A20" s="78"/>
      <c r="B20" s="71"/>
      <c r="C20" s="71"/>
      <c r="D20" s="117"/>
      <c r="E20" s="107"/>
      <c r="F20" s="107"/>
      <c r="G20" s="107"/>
      <c r="H20" s="107"/>
      <c r="I20" s="422"/>
      <c r="J20" s="71"/>
      <c r="K20" s="71"/>
    </row>
    <row r="21" spans="1:11">
      <c r="A21" s="78"/>
      <c r="B21" s="71" t="s">
        <v>14</v>
      </c>
      <c r="C21" s="71"/>
      <c r="D21" s="107"/>
      <c r="E21" s="71"/>
      <c r="F21" s="71"/>
      <c r="G21" s="71"/>
      <c r="H21" s="71"/>
      <c r="I21" s="107"/>
      <c r="J21" s="71"/>
      <c r="K21" s="71"/>
    </row>
    <row r="22" spans="1:11">
      <c r="A22" s="78">
        <v>8</v>
      </c>
      <c r="B22" s="71" t="s">
        <v>255</v>
      </c>
      <c r="C22" s="103" t="s">
        <v>653</v>
      </c>
      <c r="D22" s="107"/>
      <c r="E22" s="71"/>
      <c r="F22" s="71"/>
      <c r="G22" s="71"/>
      <c r="H22" s="71"/>
      <c r="I22" s="174">
        <f>'A6-Divisor'!E21</f>
        <v>267750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7">
        <f>ROUND(I19/I22,2)</f>
        <v>41.35</v>
      </c>
      <c r="E25" s="71" t="s">
        <v>245</v>
      </c>
      <c r="F25" s="107"/>
      <c r="G25" s="107"/>
      <c r="H25" s="107"/>
      <c r="I25" s="107"/>
      <c r="J25" s="107"/>
      <c r="K25" s="71"/>
    </row>
    <row r="26" spans="1:11">
      <c r="A26" s="78">
        <v>12</v>
      </c>
      <c r="B26" s="71" t="s">
        <v>257</v>
      </c>
      <c r="C26" s="71" t="s">
        <v>788</v>
      </c>
      <c r="D26" s="577">
        <f>ROUND(D25/12,2)</f>
        <v>3.45</v>
      </c>
      <c r="E26" s="71" t="s">
        <v>246</v>
      </c>
      <c r="F26" s="107"/>
      <c r="G26" s="107"/>
      <c r="H26" s="107"/>
      <c r="I26" s="107"/>
      <c r="J26" s="107"/>
      <c r="K26" s="71"/>
    </row>
    <row r="27" spans="1:11">
      <c r="A27" s="78">
        <v>13</v>
      </c>
      <c r="B27" s="71" t="s">
        <v>258</v>
      </c>
      <c r="C27" s="71" t="s">
        <v>789</v>
      </c>
      <c r="D27" s="577">
        <f>ROUND(D25/52,2)</f>
        <v>0.8</v>
      </c>
      <c r="E27" s="71" t="s">
        <v>247</v>
      </c>
      <c r="F27" s="107"/>
      <c r="G27" s="107"/>
      <c r="H27" s="107"/>
      <c r="I27" s="107"/>
      <c r="J27" s="107"/>
      <c r="K27" s="71"/>
    </row>
    <row r="28" spans="1:11">
      <c r="A28" s="78">
        <v>14</v>
      </c>
      <c r="B28" s="71" t="s">
        <v>259</v>
      </c>
      <c r="C28" s="71" t="s">
        <v>248</v>
      </c>
      <c r="D28" s="578">
        <f>+D27/6</f>
        <v>0.13333333333333333</v>
      </c>
      <c r="E28" s="71" t="s">
        <v>249</v>
      </c>
      <c r="F28" s="107"/>
      <c r="G28" s="107"/>
      <c r="H28" s="107"/>
      <c r="I28" s="107"/>
      <c r="J28" s="107"/>
      <c r="K28" s="71"/>
    </row>
    <row r="29" spans="1:11">
      <c r="A29" s="78">
        <v>15</v>
      </c>
      <c r="B29" s="71" t="s">
        <v>260</v>
      </c>
      <c r="C29" s="71" t="s">
        <v>250</v>
      </c>
      <c r="D29" s="578">
        <f>+D27/7</f>
        <v>0.1142857142857143</v>
      </c>
      <c r="E29" s="71" t="s">
        <v>249</v>
      </c>
      <c r="F29" s="107"/>
      <c r="G29" s="107"/>
      <c r="H29" s="107"/>
      <c r="I29" s="107"/>
      <c r="J29" s="107"/>
      <c r="K29" s="71"/>
    </row>
    <row r="30" spans="1:11">
      <c r="A30" s="78">
        <v>16</v>
      </c>
      <c r="B30" s="71" t="s">
        <v>261</v>
      </c>
      <c r="C30" s="71" t="s">
        <v>251</v>
      </c>
      <c r="D30" s="577">
        <f>+D28/16*1000</f>
        <v>8.3333333333333339</v>
      </c>
      <c r="E30" s="71" t="s">
        <v>895</v>
      </c>
      <c r="F30" s="107"/>
      <c r="G30" s="107"/>
      <c r="H30" s="107"/>
      <c r="I30" s="107"/>
      <c r="J30" s="107"/>
      <c r="K30" s="71"/>
    </row>
    <row r="31" spans="1:11">
      <c r="A31" s="78">
        <v>17</v>
      </c>
      <c r="B31" s="71" t="s">
        <v>262</v>
      </c>
      <c r="C31" s="71" t="s">
        <v>252</v>
      </c>
      <c r="D31" s="577">
        <f>+D29/24*1000</f>
        <v>4.7619047619047628</v>
      </c>
      <c r="E31" s="71" t="s">
        <v>895</v>
      </c>
      <c r="F31" s="107"/>
      <c r="G31" s="107"/>
      <c r="H31" s="107"/>
      <c r="I31" s="107"/>
      <c r="J31" s="107"/>
      <c r="K31" s="71"/>
    </row>
    <row r="32" spans="1:11">
      <c r="B32" s="71"/>
      <c r="C32" s="71"/>
      <c r="D32" s="104"/>
      <c r="E32" s="71"/>
      <c r="F32" s="71"/>
      <c r="G32" s="71"/>
      <c r="H32" s="71"/>
      <c r="I32" s="774" t="str">
        <f>I1</f>
        <v>Actual Attachment H</v>
      </c>
      <c r="J32" s="774"/>
      <c r="K32" s="774"/>
    </row>
    <row r="33" spans="1:11">
      <c r="B33" s="71"/>
      <c r="C33" s="71"/>
      <c r="D33" s="104"/>
      <c r="E33" s="71"/>
      <c r="F33" s="71"/>
      <c r="G33" s="71"/>
      <c r="H33" s="71"/>
      <c r="I33" s="71"/>
      <c r="J33" s="773" t="s">
        <v>242</v>
      </c>
      <c r="K33" s="773"/>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12/31/2022</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473</v>
      </c>
      <c r="C43" s="107"/>
      <c r="D43" s="107"/>
      <c r="E43" s="107"/>
      <c r="F43" s="107"/>
      <c r="G43" s="107"/>
      <c r="H43" s="107"/>
      <c r="I43" s="107"/>
      <c r="J43" s="107"/>
      <c r="K43" s="107"/>
    </row>
    <row r="44" spans="1:11">
      <c r="A44" s="78"/>
      <c r="B44" s="71" t="s">
        <v>470</v>
      </c>
      <c r="C44" s="107"/>
      <c r="D44" s="107"/>
      <c r="E44" s="107"/>
      <c r="F44" s="107"/>
      <c r="G44" s="107"/>
      <c r="H44" s="107"/>
      <c r="I44" s="107"/>
      <c r="J44" s="107"/>
      <c r="K44" s="107"/>
    </row>
    <row r="45" spans="1:11">
      <c r="A45" s="78">
        <v>1</v>
      </c>
      <c r="B45" s="71" t="s">
        <v>26</v>
      </c>
      <c r="C45" s="51" t="s">
        <v>658</v>
      </c>
      <c r="D45" s="174">
        <f>'A4-Rate Base'!C23</f>
        <v>348280393.26692301</v>
      </c>
      <c r="E45" s="107"/>
      <c r="F45" s="107" t="s">
        <v>27</v>
      </c>
      <c r="G45" s="130" t="s">
        <v>2</v>
      </c>
      <c r="H45" s="107"/>
      <c r="I45" s="63">
        <v>0</v>
      </c>
      <c r="J45" s="107"/>
      <c r="K45" s="107"/>
    </row>
    <row r="46" spans="1:11">
      <c r="A46" s="78">
        <v>2</v>
      </c>
      <c r="B46" s="71" t="s">
        <v>28</v>
      </c>
      <c r="C46" s="51" t="s">
        <v>659</v>
      </c>
      <c r="D46" s="174">
        <f>'A4-Rate Base'!D23</f>
        <v>86957649.413846165</v>
      </c>
      <c r="E46" s="107"/>
      <c r="F46" s="107" t="s">
        <v>11</v>
      </c>
      <c r="G46" s="114">
        <f>$I$174</f>
        <v>0.94993800079121415</v>
      </c>
      <c r="H46" s="107"/>
      <c r="I46" s="63">
        <f>+G46*D46</f>
        <v>82604375.637692317</v>
      </c>
      <c r="J46" s="107"/>
      <c r="K46" s="107"/>
    </row>
    <row r="47" spans="1:11">
      <c r="A47" s="78">
        <v>3</v>
      </c>
      <c r="B47" s="71" t="s">
        <v>29</v>
      </c>
      <c r="C47" s="51" t="s">
        <v>660</v>
      </c>
      <c r="D47" s="174">
        <f>'A4-Rate Base'!E23</f>
        <v>252209333.70000008</v>
      </c>
      <c r="E47" s="107"/>
      <c r="F47" s="107" t="s">
        <v>27</v>
      </c>
      <c r="G47" s="130" t="s">
        <v>2</v>
      </c>
      <c r="H47" s="107"/>
      <c r="I47" s="63">
        <v>0</v>
      </c>
      <c r="J47" s="107"/>
      <c r="K47" s="107"/>
    </row>
    <row r="48" spans="1:11">
      <c r="A48" s="78">
        <v>4</v>
      </c>
      <c r="B48" s="71" t="s">
        <v>30</v>
      </c>
      <c r="C48" s="51" t="s">
        <v>661</v>
      </c>
      <c r="D48" s="174">
        <f>'A4-Rate Base'!F23</f>
        <v>21130047.153076924</v>
      </c>
      <c r="E48" s="107"/>
      <c r="F48" s="107" t="s">
        <v>31</v>
      </c>
      <c r="G48" s="131">
        <f>$I$191</f>
        <v>7.0964263854582682E-2</v>
      </c>
      <c r="H48" s="107"/>
      <c r="I48" s="63">
        <f>+G48*D48</f>
        <v>1499478.2414307245</v>
      </c>
      <c r="J48" s="107"/>
      <c r="K48" s="107"/>
    </row>
    <row r="49" spans="1:11">
      <c r="A49" s="78">
        <v>5</v>
      </c>
      <c r="B49" s="71" t="s">
        <v>32</v>
      </c>
      <c r="C49" s="51" t="s">
        <v>662</v>
      </c>
      <c r="D49" s="174">
        <f>'A4-Rate Base'!G23</f>
        <v>12519082</v>
      </c>
      <c r="E49" s="107"/>
      <c r="F49" s="107" t="s">
        <v>67</v>
      </c>
      <c r="G49" s="131">
        <f>$K$195</f>
        <v>6.9716558849231183E-2</v>
      </c>
      <c r="H49" s="107"/>
      <c r="I49" s="63">
        <f>+G49*D49</f>
        <v>872787.31699135085</v>
      </c>
      <c r="J49" s="107"/>
      <c r="K49" s="107"/>
    </row>
    <row r="50" spans="1:11">
      <c r="A50" s="78">
        <v>6</v>
      </c>
      <c r="B50" s="71" t="s">
        <v>364</v>
      </c>
      <c r="C50" s="52" t="s">
        <v>363</v>
      </c>
      <c r="D50" s="184">
        <f>SUM(D45:D49)</f>
        <v>721096505.53384614</v>
      </c>
      <c r="E50" s="107"/>
      <c r="F50" s="107" t="s">
        <v>33</v>
      </c>
      <c r="G50" s="114">
        <f>IF(I50&gt;0,I50/D50,0)</f>
        <v>0.11784364581437545</v>
      </c>
      <c r="H50" s="107"/>
      <c r="I50" s="184">
        <f>SUM(I45:I49)</f>
        <v>84976641.196114391</v>
      </c>
      <c r="J50" s="107"/>
      <c r="K50" s="382"/>
    </row>
    <row r="51" spans="1:11">
      <c r="B51" s="71"/>
      <c r="C51" s="107"/>
      <c r="D51" s="107"/>
      <c r="E51" s="107"/>
      <c r="F51" s="107"/>
      <c r="G51" s="133"/>
      <c r="H51" s="107"/>
      <c r="I51" s="63"/>
      <c r="J51" s="107"/>
      <c r="K51" s="133"/>
    </row>
    <row r="52" spans="1:11">
      <c r="B52" s="71" t="s">
        <v>471</v>
      </c>
      <c r="C52" s="107"/>
      <c r="D52" s="107"/>
      <c r="E52" s="107"/>
      <c r="F52" s="107"/>
      <c r="G52" s="107"/>
      <c r="H52" s="107"/>
      <c r="I52" s="107"/>
      <c r="J52" s="107"/>
      <c r="K52" s="107"/>
    </row>
    <row r="53" spans="1:11">
      <c r="A53" s="78">
        <v>7</v>
      </c>
      <c r="B53" s="134" t="str">
        <f>+B45</f>
        <v xml:space="preserve">  Production</v>
      </c>
      <c r="C53" s="51" t="s">
        <v>663</v>
      </c>
      <c r="D53" s="174">
        <f>'A4-Rate Base'!E46</f>
        <v>70990985.660010874</v>
      </c>
      <c r="E53" s="107"/>
      <c r="F53" s="115" t="str">
        <f>+F45</f>
        <v>NA</v>
      </c>
      <c r="G53" s="131"/>
      <c r="H53" s="107"/>
      <c r="I53" s="63">
        <v>0</v>
      </c>
      <c r="J53" s="107"/>
      <c r="K53" s="107"/>
    </row>
    <row r="54" spans="1:11">
      <c r="A54" s="78">
        <v>8</v>
      </c>
      <c r="B54" s="134" t="str">
        <f>+B46</f>
        <v xml:space="preserve">  Transmission</v>
      </c>
      <c r="C54" s="51" t="s">
        <v>664</v>
      </c>
      <c r="D54" s="174">
        <f>'A4-Rate Base'!F46</f>
        <v>7740377.3960624235</v>
      </c>
      <c r="E54" s="107"/>
      <c r="F54" s="115" t="str">
        <f t="shared" ref="F54:F57" si="1">+F46</f>
        <v>TP</v>
      </c>
      <c r="G54" s="114">
        <f>$I$174</f>
        <v>0.94993800079121415</v>
      </c>
      <c r="H54" s="107"/>
      <c r="I54" s="63">
        <f>+G54*D54</f>
        <v>7352878.6289850427</v>
      </c>
      <c r="J54" s="107"/>
      <c r="K54" s="107"/>
    </row>
    <row r="55" spans="1:11">
      <c r="A55" s="78">
        <v>9</v>
      </c>
      <c r="B55" s="134" t="str">
        <f>+B47</f>
        <v xml:space="preserve">  Distribution</v>
      </c>
      <c r="C55" s="51" t="s">
        <v>665</v>
      </c>
      <c r="D55" s="174">
        <f>'A4-Rate Base'!G46</f>
        <v>68938445.248897687</v>
      </c>
      <c r="E55" s="107"/>
      <c r="F55" s="115" t="str">
        <f t="shared" si="1"/>
        <v>NA</v>
      </c>
      <c r="G55" s="131"/>
      <c r="H55" s="107"/>
      <c r="I55" s="63">
        <v>0</v>
      </c>
      <c r="J55" s="107"/>
      <c r="K55" s="107"/>
    </row>
    <row r="56" spans="1:11">
      <c r="A56" s="78">
        <v>10</v>
      </c>
      <c r="B56" s="134" t="str">
        <f>+B48</f>
        <v xml:space="preserve">  General &amp; Intangible</v>
      </c>
      <c r="C56" s="51" t="s">
        <v>666</v>
      </c>
      <c r="D56" s="174">
        <f>'A4-Rate Base'!H46</f>
        <v>5632699.016246344</v>
      </c>
      <c r="E56" s="107"/>
      <c r="F56" s="115" t="str">
        <f t="shared" si="1"/>
        <v>W/S</v>
      </c>
      <c r="G56" s="131">
        <f>$I$191</f>
        <v>7.0964263854582682E-2</v>
      </c>
      <c r="H56" s="107"/>
      <c r="I56" s="63">
        <f>+G56*D56</f>
        <v>399720.33920235385</v>
      </c>
      <c r="J56" s="107"/>
      <c r="K56" s="107"/>
    </row>
    <row r="57" spans="1:11">
      <c r="A57" s="78">
        <v>11</v>
      </c>
      <c r="B57" s="134" t="str">
        <f>+B49</f>
        <v xml:space="preserve">  Common</v>
      </c>
      <c r="C57" s="51" t="s">
        <v>667</v>
      </c>
      <c r="D57" s="174">
        <f>'A4-Rate Base'!I46</f>
        <v>2485781.3846153845</v>
      </c>
      <c r="E57" s="107"/>
      <c r="F57" s="115" t="str">
        <f t="shared" si="1"/>
        <v>CE</v>
      </c>
      <c r="G57" s="131">
        <f>$K$195</f>
        <v>6.9716558849231183E-2</v>
      </c>
      <c r="H57" s="107"/>
      <c r="I57" s="59">
        <f>+G57*D57</f>
        <v>173300.12418686182</v>
      </c>
      <c r="J57" s="107"/>
      <c r="K57" s="107"/>
    </row>
    <row r="58" spans="1:11">
      <c r="A58" s="78">
        <v>12</v>
      </c>
      <c r="B58" s="71" t="s">
        <v>366</v>
      </c>
      <c r="C58" s="52" t="s">
        <v>365</v>
      </c>
      <c r="D58" s="184">
        <f>SUM(D53:D57)</f>
        <v>155788288.70583272</v>
      </c>
      <c r="E58" s="107"/>
      <c r="F58" s="107"/>
      <c r="G58" s="107"/>
      <c r="H58" s="107"/>
      <c r="I58" s="184">
        <f>SUM(I53:I57)</f>
        <v>7925899.0923742587</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277289407.60691214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79217272.017783746</v>
      </c>
      <c r="E62" s="107"/>
      <c r="F62" s="107"/>
      <c r="G62" s="130"/>
      <c r="H62" s="107"/>
      <c r="I62" s="63">
        <f>I46-I54</f>
        <v>75251497.00870727</v>
      </c>
      <c r="J62" s="107"/>
      <c r="K62" s="133"/>
    </row>
    <row r="63" spans="1:11">
      <c r="A63" s="78">
        <v>15</v>
      </c>
      <c r="B63" s="134" t="str">
        <f>+B55</f>
        <v xml:space="preserve">  Distribution</v>
      </c>
      <c r="C63" s="52" t="str">
        <f>"(Line "&amp;A47&amp;" - Line "&amp;A55&amp;")"</f>
        <v>(Line 3 - Line 9)</v>
      </c>
      <c r="D63" s="63">
        <f>D47-D55</f>
        <v>183270888.45110238</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15497348.136830579</v>
      </c>
      <c r="E64" s="107"/>
      <c r="F64" s="107"/>
      <c r="G64" s="133"/>
      <c r="H64" s="107"/>
      <c r="I64" s="63">
        <f>I48-I56</f>
        <v>1099757.9022283708</v>
      </c>
      <c r="J64" s="107"/>
      <c r="K64" s="133"/>
    </row>
    <row r="65" spans="1:11" ht="13.8" thickBot="1">
      <c r="A65" s="78">
        <v>17</v>
      </c>
      <c r="B65" s="134" t="str">
        <f>+B57</f>
        <v xml:space="preserve">  Common</v>
      </c>
      <c r="C65" s="52" t="str">
        <f>"(Line "&amp;A49&amp;" - Line "&amp;A57&amp;")"</f>
        <v>(Line 5 - Line 11)</v>
      </c>
      <c r="D65" s="64">
        <f>D49-D57</f>
        <v>10033300.615384616</v>
      </c>
      <c r="E65" s="107"/>
      <c r="F65" s="107"/>
      <c r="G65" s="133"/>
      <c r="H65" s="107"/>
      <c r="I65" s="59">
        <f>I49-I57</f>
        <v>699487.19280448905</v>
      </c>
      <c r="J65" s="107"/>
      <c r="K65" s="133"/>
    </row>
    <row r="66" spans="1:11">
      <c r="A66" s="78">
        <v>18</v>
      </c>
      <c r="B66" s="71" t="s">
        <v>368</v>
      </c>
      <c r="C66" s="52" t="s">
        <v>367</v>
      </c>
      <c r="D66" s="63">
        <f>SUM(D61:D65)</f>
        <v>565308216.82801342</v>
      </c>
      <c r="E66" s="107"/>
      <c r="F66" s="107" t="s">
        <v>34</v>
      </c>
      <c r="G66" s="114">
        <f>IF(I66&gt;0,I66/D66,0)</f>
        <v>0.13629864171456341</v>
      </c>
      <c r="H66" s="107"/>
      <c r="I66" s="184">
        <f>SUM(I61:I65)</f>
        <v>77050742.103740126</v>
      </c>
      <c r="J66" s="107"/>
      <c r="K66" s="107"/>
    </row>
    <row r="67" spans="1:11" s="2" customFormat="1">
      <c r="A67" s="53"/>
      <c r="B67" s="54"/>
      <c r="C67" s="52"/>
      <c r="D67" s="55"/>
      <c r="E67" s="51"/>
      <c r="F67" s="51"/>
      <c r="G67" s="56"/>
      <c r="H67" s="51"/>
      <c r="I67" s="63"/>
      <c r="J67" s="52"/>
      <c r="K67" s="52"/>
    </row>
    <row r="68" spans="1:11" s="2" customFormat="1">
      <c r="A68" s="53" t="s">
        <v>369</v>
      </c>
      <c r="B68" s="57" t="s">
        <v>370</v>
      </c>
      <c r="C68" s="58" t="s">
        <v>1116</v>
      </c>
      <c r="D68" s="174">
        <f>'A4-Rate Base'!H23</f>
        <v>0</v>
      </c>
      <c r="E68" s="58"/>
      <c r="F68" s="73"/>
      <c r="G68" s="686"/>
      <c r="H68" s="58"/>
      <c r="I68" s="60">
        <f>+G68*D68</f>
        <v>0</v>
      </c>
      <c r="J68" s="52"/>
      <c r="K68" s="52"/>
    </row>
    <row r="69" spans="1:11" s="2" customFormat="1">
      <c r="A69" s="53"/>
      <c r="B69" s="61"/>
      <c r="C69" s="52"/>
      <c r="D69" s="55"/>
      <c r="E69" s="52"/>
      <c r="F69" s="61"/>
      <c r="G69" s="61"/>
      <c r="H69" s="52"/>
      <c r="I69" s="55"/>
      <c r="J69" s="52"/>
      <c r="K69" s="62"/>
    </row>
    <row r="70" spans="1:11">
      <c r="A70" s="78"/>
      <c r="B70" s="71" t="s">
        <v>746</v>
      </c>
      <c r="C70" s="107"/>
      <c r="D70" s="107"/>
      <c r="E70" s="107"/>
      <c r="F70" s="107"/>
      <c r="G70" s="107"/>
      <c r="H70" s="107"/>
      <c r="I70" s="107"/>
      <c r="J70" s="107"/>
      <c r="K70" s="107"/>
    </row>
    <row r="71" spans="1:11">
      <c r="A71" s="53">
        <f>+A66+1</f>
        <v>19</v>
      </c>
      <c r="B71" s="54" t="s">
        <v>1091</v>
      </c>
      <c r="C71" s="52" t="s">
        <v>668</v>
      </c>
      <c r="D71" s="174">
        <f>'A4-Rate Base'!E70</f>
        <v>0</v>
      </c>
      <c r="E71" s="52"/>
      <c r="F71" s="103" t="s">
        <v>37</v>
      </c>
      <c r="G71" s="65">
        <f>GP</f>
        <v>0.11784364581437545</v>
      </c>
      <c r="H71" s="51"/>
      <c r="I71" s="55">
        <f t="shared" ref="I71:I77" si="2">D71*G71</f>
        <v>0</v>
      </c>
      <c r="J71" s="107"/>
      <c r="K71" s="133"/>
    </row>
    <row r="72" spans="1:11">
      <c r="A72" s="53">
        <f t="shared" ref="A72:A75" si="3">+A71+1</f>
        <v>20</v>
      </c>
      <c r="B72" s="54" t="s">
        <v>1093</v>
      </c>
      <c r="C72" s="52" t="s">
        <v>669</v>
      </c>
      <c r="D72" s="174">
        <f>'A4-Rate Base'!F70</f>
        <v>-71261045.878886372</v>
      </c>
      <c r="E72" s="52"/>
      <c r="F72" s="103" t="s">
        <v>37</v>
      </c>
      <c r="G72" s="65">
        <f>GP</f>
        <v>0.11784364581437545</v>
      </c>
      <c r="H72" s="51"/>
      <c r="I72" s="55">
        <f t="shared" si="2"/>
        <v>-8397661.450913446</v>
      </c>
      <c r="J72" s="107"/>
      <c r="K72" s="133"/>
    </row>
    <row r="73" spans="1:11">
      <c r="A73" s="53">
        <f t="shared" si="3"/>
        <v>21</v>
      </c>
      <c r="B73" s="54" t="s">
        <v>1092</v>
      </c>
      <c r="C73" s="52" t="s">
        <v>670</v>
      </c>
      <c r="D73" s="174">
        <f>'A4-Rate Base'!G70</f>
        <v>-4014949.5</v>
      </c>
      <c r="E73" s="52"/>
      <c r="F73" s="103" t="s">
        <v>37</v>
      </c>
      <c r="G73" s="65">
        <f>GP</f>
        <v>0.11784364581437545</v>
      </c>
      <c r="H73" s="51"/>
      <c r="I73" s="55">
        <f t="shared" si="2"/>
        <v>-473136.2868406038</v>
      </c>
      <c r="J73" s="107"/>
      <c r="K73" s="133"/>
    </row>
    <row r="74" spans="1:11">
      <c r="A74" s="53">
        <f t="shared" si="3"/>
        <v>22</v>
      </c>
      <c r="B74" s="54" t="s">
        <v>136</v>
      </c>
      <c r="C74" s="52" t="s">
        <v>671</v>
      </c>
      <c r="D74" s="174">
        <f>'A4-Rate Base'!H70</f>
        <v>20912418</v>
      </c>
      <c r="E74" s="52"/>
      <c r="F74" s="103" t="s">
        <v>37</v>
      </c>
      <c r="G74" s="65">
        <f>GP</f>
        <v>0.11784364581437545</v>
      </c>
      <c r="H74" s="51"/>
      <c r="I74" s="55">
        <f t="shared" si="2"/>
        <v>2464395.5799141699</v>
      </c>
      <c r="J74" s="107"/>
      <c r="K74" s="133"/>
    </row>
    <row r="75" spans="1:11">
      <c r="A75" s="53">
        <f t="shared" si="3"/>
        <v>23</v>
      </c>
      <c r="B75" s="61" t="s">
        <v>997</v>
      </c>
      <c r="C75" s="61" t="s">
        <v>1024</v>
      </c>
      <c r="D75" s="544">
        <v>0</v>
      </c>
      <c r="E75" s="52"/>
      <c r="F75" s="52"/>
      <c r="G75" s="66">
        <v>0</v>
      </c>
      <c r="H75" s="51"/>
      <c r="I75" s="60">
        <f t="shared" si="2"/>
        <v>0</v>
      </c>
      <c r="J75" s="107"/>
      <c r="K75" s="133"/>
    </row>
    <row r="76" spans="1:11">
      <c r="A76" s="53" t="s">
        <v>375</v>
      </c>
      <c r="B76" s="57" t="s">
        <v>371</v>
      </c>
      <c r="C76" s="58" t="s">
        <v>1026</v>
      </c>
      <c r="D76" s="174">
        <f>'A4-Rate Base'!C70</f>
        <v>0</v>
      </c>
      <c r="E76" s="58"/>
      <c r="F76" s="73"/>
      <c r="G76" s="686"/>
      <c r="H76" s="58"/>
      <c r="I76" s="60">
        <f t="shared" si="2"/>
        <v>0</v>
      </c>
      <c r="J76" s="107"/>
      <c r="K76" s="133"/>
    </row>
    <row r="77" spans="1:11">
      <c r="A77" s="53" t="s">
        <v>376</v>
      </c>
      <c r="B77" s="57" t="s">
        <v>372</v>
      </c>
      <c r="C77" s="58" t="s">
        <v>1027</v>
      </c>
      <c r="D77" s="174">
        <f>'A4-Rate Base'!D70</f>
        <v>0</v>
      </c>
      <c r="E77" s="58"/>
      <c r="F77" s="73"/>
      <c r="G77" s="686"/>
      <c r="H77" s="58"/>
      <c r="I77" s="60">
        <f t="shared" si="2"/>
        <v>0</v>
      </c>
      <c r="J77" s="107"/>
      <c r="K77" s="133"/>
    </row>
    <row r="78" spans="1:11">
      <c r="A78" s="53" t="s">
        <v>377</v>
      </c>
      <c r="B78" s="57" t="s">
        <v>919</v>
      </c>
      <c r="C78" s="58" t="s">
        <v>933</v>
      </c>
      <c r="D78" s="174">
        <f>'A4-Rate Base'!I82</f>
        <v>0</v>
      </c>
      <c r="E78" s="58"/>
      <c r="F78" s="58"/>
      <c r="G78" s="67"/>
      <c r="H78" s="58"/>
      <c r="I78" s="60">
        <f t="shared" ref="I78" si="4">D78</f>
        <v>0</v>
      </c>
      <c r="J78" s="107"/>
      <c r="K78" s="133"/>
    </row>
    <row r="79" spans="1:11">
      <c r="A79" s="53">
        <v>24</v>
      </c>
      <c r="B79" s="134" t="s">
        <v>137</v>
      </c>
      <c r="C79" s="134" t="s">
        <v>1025</v>
      </c>
      <c r="D79" s="174">
        <f>'A3-ADIT'!F24</f>
        <v>145932.04499999998</v>
      </c>
      <c r="E79" s="107"/>
      <c r="F79" s="103" t="s">
        <v>37</v>
      </c>
      <c r="G79" s="65">
        <f>GP</f>
        <v>0.11784364581437545</v>
      </c>
      <c r="H79" s="107"/>
      <c r="I79" s="60">
        <f t="shared" ref="I79" si="5">D79*G79</f>
        <v>17197.164223947497</v>
      </c>
      <c r="J79" s="107"/>
      <c r="K79" s="133"/>
    </row>
    <row r="80" spans="1:11" ht="13.8" thickBot="1">
      <c r="A80" s="78">
        <v>25</v>
      </c>
      <c r="B80" s="134" t="s">
        <v>1201</v>
      </c>
      <c r="C80" s="134" t="s">
        <v>1088</v>
      </c>
      <c r="D80" s="689">
        <f>'A3-ADIT'!I34</f>
        <v>-2946560.2067847447</v>
      </c>
      <c r="E80" s="107"/>
      <c r="F80" s="107"/>
      <c r="G80" s="107"/>
      <c r="H80" s="107"/>
      <c r="I80" s="64">
        <f>D80</f>
        <v>-2946560.2067847447</v>
      </c>
      <c r="J80" s="107"/>
      <c r="K80" s="133"/>
    </row>
    <row r="81" spans="1:11">
      <c r="A81" s="78">
        <v>26</v>
      </c>
      <c r="B81" s="71" t="s">
        <v>380</v>
      </c>
      <c r="C81" s="52" t="s">
        <v>1070</v>
      </c>
      <c r="D81" s="63">
        <f>SUM(D71:D80)</f>
        <v>-57164205.540671118</v>
      </c>
      <c r="E81" s="107"/>
      <c r="F81" s="107"/>
      <c r="G81" s="107"/>
      <c r="H81" s="107"/>
      <c r="I81" s="63">
        <f>SUM(I71:I80)</f>
        <v>-9335765.2004006784</v>
      </c>
      <c r="J81" s="107"/>
      <c r="K81" s="107"/>
    </row>
    <row r="82" spans="1:11">
      <c r="A82" s="78"/>
      <c r="C82" s="107"/>
      <c r="E82" s="107"/>
      <c r="F82" s="107"/>
      <c r="G82" s="133"/>
      <c r="H82" s="107"/>
      <c r="J82" s="107"/>
      <c r="K82" s="133"/>
    </row>
    <row r="83" spans="1:11">
      <c r="A83" s="78">
        <v>27</v>
      </c>
      <c r="B83" s="71" t="s">
        <v>35</v>
      </c>
      <c r="C83" s="69" t="s">
        <v>672</v>
      </c>
      <c r="D83" s="174">
        <f>'A4-Rate Base'!I23</f>
        <v>318000</v>
      </c>
      <c r="E83" s="107"/>
      <c r="F83" s="115" t="str">
        <f>+F54</f>
        <v>TP</v>
      </c>
      <c r="G83" s="114">
        <f>$I$174</f>
        <v>0.94993800079121415</v>
      </c>
      <c r="H83" s="107"/>
      <c r="I83" s="63">
        <f>+G83*D83</f>
        <v>302080.28425160609</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929</v>
      </c>
      <c r="C86" s="61" t="s">
        <v>625</v>
      </c>
      <c r="D86" s="63">
        <f>+D116/8</f>
        <v>2035330.6854000001</v>
      </c>
      <c r="E86" s="107"/>
      <c r="F86" s="107"/>
      <c r="G86" s="133"/>
      <c r="H86" s="107"/>
      <c r="I86" s="63">
        <f>+I116/8</f>
        <v>205436.47367203759</v>
      </c>
      <c r="J86" s="71"/>
      <c r="K86" s="133"/>
    </row>
    <row r="87" spans="1:11">
      <c r="A87" s="78">
        <v>29</v>
      </c>
      <c r="B87" s="71" t="s">
        <v>143</v>
      </c>
      <c r="C87" s="69" t="s">
        <v>981</v>
      </c>
      <c r="D87" s="174">
        <f>'A4-Rate Base'!F107</f>
        <v>60207.051094273898</v>
      </c>
      <c r="E87" s="107"/>
      <c r="F87" s="107" t="s">
        <v>36</v>
      </c>
      <c r="G87" s="131">
        <f>$I$183</f>
        <v>0.9341902831847233</v>
      </c>
      <c r="H87" s="107"/>
      <c r="I87" s="63">
        <f>+G87*D87</f>
        <v>56244.842111476835</v>
      </c>
      <c r="J87" s="107" t="s">
        <v>2</v>
      </c>
      <c r="K87" s="133"/>
    </row>
    <row r="88" spans="1:11" ht="13.8" thickBot="1">
      <c r="A88" s="78">
        <v>30</v>
      </c>
      <c r="B88" s="71" t="s">
        <v>138</v>
      </c>
      <c r="C88" s="51" t="s">
        <v>1089</v>
      </c>
      <c r="D88" s="174">
        <f>'A8-Prepmts'!H33</f>
        <v>107157.3187590544</v>
      </c>
      <c r="E88" s="107"/>
      <c r="F88" s="107"/>
      <c r="G88" s="131"/>
      <c r="H88" s="107"/>
      <c r="I88" s="64">
        <f>D88</f>
        <v>107157.3187590544</v>
      </c>
      <c r="J88" s="107"/>
      <c r="K88" s="133"/>
    </row>
    <row r="89" spans="1:11">
      <c r="A89" s="78">
        <v>31</v>
      </c>
      <c r="B89" s="71" t="s">
        <v>378</v>
      </c>
      <c r="C89" s="52" t="s">
        <v>379</v>
      </c>
      <c r="D89" s="184">
        <f>D86+D87+D88</f>
        <v>2202695.0552533283</v>
      </c>
      <c r="E89" s="71"/>
      <c r="F89" s="71"/>
      <c r="G89" s="71"/>
      <c r="H89" s="71"/>
      <c r="I89" s="63">
        <f>I86+I87+I88</f>
        <v>368838.63454256882</v>
      </c>
      <c r="J89" s="71"/>
      <c r="K89" s="71"/>
    </row>
    <row r="90" spans="1:11" ht="13.8" thickBot="1">
      <c r="C90" s="107"/>
      <c r="E90" s="107"/>
      <c r="F90" s="107"/>
      <c r="G90" s="107"/>
      <c r="H90" s="107"/>
      <c r="I90" s="135"/>
      <c r="J90" s="107"/>
      <c r="K90" s="107"/>
    </row>
    <row r="91" spans="1:11" ht="13.8" thickBot="1">
      <c r="A91" s="78">
        <v>32</v>
      </c>
      <c r="B91" s="71" t="s">
        <v>571</v>
      </c>
      <c r="C91" s="71" t="s">
        <v>572</v>
      </c>
      <c r="D91" s="70">
        <f>+D89+D83+D81+D66</f>
        <v>510664706.34259564</v>
      </c>
      <c r="E91" s="107"/>
      <c r="F91" s="107"/>
      <c r="G91" s="133"/>
      <c r="H91" s="107"/>
      <c r="I91" s="70">
        <f>+I89+I83+I81+I66</f>
        <v>68385895.822133631</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774" t="str">
        <f>I1</f>
        <v>Actual Attachment H</v>
      </c>
      <c r="J93" s="774"/>
      <c r="K93" s="774"/>
    </row>
    <row r="94" spans="1:11">
      <c r="B94" s="71"/>
      <c r="C94" s="71"/>
      <c r="D94" s="104"/>
      <c r="E94" s="71"/>
      <c r="F94" s="71"/>
      <c r="G94" s="71"/>
      <c r="H94" s="71"/>
      <c r="I94" s="71"/>
      <c r="J94" s="773" t="s">
        <v>243</v>
      </c>
      <c r="K94" s="773"/>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12/31/2022</v>
      </c>
    </row>
    <row r="97" spans="1:11">
      <c r="B97" s="71"/>
      <c r="C97" s="107"/>
      <c r="D97" s="108" t="s">
        <v>3</v>
      </c>
      <c r="E97" s="107"/>
      <c r="F97" s="107"/>
      <c r="G97" s="107"/>
      <c r="H97" s="71"/>
      <c r="I97" s="71"/>
      <c r="J97" s="71"/>
      <c r="K97" s="71"/>
    </row>
    <row r="98" spans="1:11">
      <c r="B98" s="71"/>
      <c r="C98" s="107"/>
      <c r="D98" s="107"/>
      <c r="E98" s="107"/>
      <c r="F98" s="107"/>
      <c r="G98" s="107"/>
      <c r="H98" s="71"/>
      <c r="I98" s="71"/>
      <c r="J98" s="71"/>
      <c r="K98" s="71"/>
    </row>
    <row r="99" spans="1:11">
      <c r="A99" s="78"/>
      <c r="D99" s="122" t="str">
        <f>C7</f>
        <v>Cheyenne Light, Fuel &amp; Power</v>
      </c>
      <c r="J99" s="107"/>
      <c r="K99" s="107"/>
    </row>
    <row r="100" spans="1:11">
      <c r="A100" s="78"/>
      <c r="D100" s="136"/>
      <c r="J100" s="107"/>
      <c r="K100" s="107"/>
    </row>
    <row r="101" spans="1:11">
      <c r="A101" s="78"/>
      <c r="B101" s="78" t="s">
        <v>15</v>
      </c>
      <c r="C101" s="78" t="s">
        <v>16</v>
      </c>
      <c r="D101" s="78" t="s">
        <v>17</v>
      </c>
      <c r="E101" s="107" t="s">
        <v>2</v>
      </c>
      <c r="F101" s="107"/>
      <c r="G101" s="123" t="s">
        <v>18</v>
      </c>
      <c r="H101" s="107"/>
      <c r="I101" s="124" t="s">
        <v>19</v>
      </c>
      <c r="J101" s="107"/>
      <c r="K101" s="107"/>
    </row>
    <row r="102" spans="1:11">
      <c r="A102" s="78" t="s">
        <v>4</v>
      </c>
      <c r="B102" s="71"/>
      <c r="C102" s="125" t="s">
        <v>20</v>
      </c>
      <c r="D102" s="107"/>
      <c r="E102" s="107"/>
      <c r="F102" s="107"/>
      <c r="G102" s="78"/>
      <c r="H102" s="107"/>
      <c r="I102" s="126" t="s">
        <v>21</v>
      </c>
      <c r="J102" s="107"/>
      <c r="K102" s="126"/>
    </row>
    <row r="103" spans="1:11" ht="13.8" thickBot="1">
      <c r="A103" s="111" t="s">
        <v>6</v>
      </c>
      <c r="B103" s="71"/>
      <c r="C103" s="127" t="s">
        <v>22</v>
      </c>
      <c r="D103" s="126" t="s">
        <v>23</v>
      </c>
      <c r="E103" s="128"/>
      <c r="F103" s="126" t="s">
        <v>24</v>
      </c>
      <c r="H103" s="128"/>
      <c r="I103" s="78" t="s">
        <v>25</v>
      </c>
      <c r="J103" s="107"/>
      <c r="K103" s="126"/>
    </row>
    <row r="104" spans="1:11">
      <c r="A104" s="78"/>
      <c r="B104" s="71" t="s">
        <v>146</v>
      </c>
      <c r="C104" s="107"/>
      <c r="D104" s="107"/>
      <c r="E104" s="107"/>
      <c r="F104" s="107"/>
      <c r="G104" s="107"/>
      <c r="H104" s="107"/>
      <c r="I104" s="107"/>
      <c r="J104" s="107"/>
      <c r="K104" s="107"/>
    </row>
    <row r="105" spans="1:11">
      <c r="A105" s="78">
        <v>1</v>
      </c>
      <c r="B105" s="71" t="s">
        <v>38</v>
      </c>
      <c r="C105" s="107" t="s">
        <v>113</v>
      </c>
      <c r="D105" s="73">
        <v>23350387</v>
      </c>
      <c r="E105" s="107"/>
      <c r="F105" s="107" t="s">
        <v>36</v>
      </c>
      <c r="G105" s="131">
        <f>$I$183</f>
        <v>0.9341902831847233</v>
      </c>
      <c r="H105" s="107"/>
      <c r="I105" s="63">
        <f>+G105*D105</f>
        <v>21813704.644002881</v>
      </c>
      <c r="J105" s="71"/>
      <c r="K105" s="107"/>
    </row>
    <row r="106" spans="1:11">
      <c r="A106" s="78">
        <v>2</v>
      </c>
      <c r="B106" s="71" t="s">
        <v>785</v>
      </c>
      <c r="C106" s="107" t="s">
        <v>786</v>
      </c>
      <c r="D106" s="73">
        <f>100356+224713+62025</f>
        <v>387094</v>
      </c>
      <c r="E106" s="107"/>
      <c r="F106" s="107" t="s">
        <v>36</v>
      </c>
      <c r="G106" s="131">
        <f>$I$183</f>
        <v>0.9341902831847233</v>
      </c>
      <c r="H106" s="107"/>
      <c r="I106" s="55">
        <f t="shared" ref="I106:I115" si="6">+G106*D106</f>
        <v>361619.45347910729</v>
      </c>
      <c r="J106" s="71"/>
      <c r="K106" s="107"/>
    </row>
    <row r="107" spans="1:11">
      <c r="A107" s="78" t="s">
        <v>145</v>
      </c>
      <c r="B107" s="71" t="s">
        <v>39</v>
      </c>
      <c r="C107" s="107" t="s">
        <v>114</v>
      </c>
      <c r="D107" s="73">
        <v>22397965</v>
      </c>
      <c r="E107" s="107"/>
      <c r="F107" s="107" t="s">
        <v>36</v>
      </c>
      <c r="G107" s="131">
        <f>$I$183</f>
        <v>0.9341902831847233</v>
      </c>
      <c r="H107" s="107"/>
      <c r="I107" s="55">
        <f t="shared" ref="I107" si="7">+G107*D107</f>
        <v>20923961.266111523</v>
      </c>
      <c r="J107" s="71"/>
      <c r="K107" s="107"/>
    </row>
    <row r="108" spans="1:11">
      <c r="A108" s="78">
        <v>3</v>
      </c>
      <c r="B108" s="71" t="s">
        <v>40</v>
      </c>
      <c r="C108" s="107" t="s">
        <v>115</v>
      </c>
      <c r="D108" s="73">
        <v>16571858</v>
      </c>
      <c r="E108" s="107"/>
      <c r="F108" s="107" t="s">
        <v>31</v>
      </c>
      <c r="G108" s="131">
        <f>$I$191</f>
        <v>7.0964263854582682E-2</v>
      </c>
      <c r="H108" s="107"/>
      <c r="I108" s="63">
        <f t="shared" si="6"/>
        <v>1176009.7036726768</v>
      </c>
      <c r="J108" s="107"/>
      <c r="K108" s="107" t="s">
        <v>2</v>
      </c>
    </row>
    <row r="109" spans="1:11">
      <c r="A109" s="78">
        <v>4</v>
      </c>
      <c r="B109" s="71" t="s">
        <v>1217</v>
      </c>
      <c r="C109" s="107"/>
      <c r="D109" s="107"/>
      <c r="E109" s="107"/>
      <c r="F109" s="115"/>
      <c r="G109" s="131"/>
      <c r="H109" s="107"/>
      <c r="I109" s="63"/>
      <c r="J109" s="107"/>
      <c r="K109" s="107"/>
    </row>
    <row r="110" spans="1:11">
      <c r="A110" s="78">
        <v>5</v>
      </c>
      <c r="B110" s="71" t="s">
        <v>465</v>
      </c>
      <c r="C110" s="107" t="s">
        <v>651</v>
      </c>
      <c r="D110" s="174">
        <f>'A2-A&amp;G'!D14</f>
        <v>912490.44</v>
      </c>
      <c r="E110" s="107"/>
      <c r="F110" s="115" t="str">
        <f>F108</f>
        <v>W/S</v>
      </c>
      <c r="G110" s="131">
        <f>$I$191</f>
        <v>7.0964263854582682E-2</v>
      </c>
      <c r="H110" s="107"/>
      <c r="I110" s="55">
        <f t="shared" si="6"/>
        <v>64754.212348944246</v>
      </c>
      <c r="J110" s="107"/>
      <c r="K110" s="107"/>
    </row>
    <row r="111" spans="1:11">
      <c r="A111" s="78" t="s">
        <v>102</v>
      </c>
      <c r="B111" s="71" t="s">
        <v>642</v>
      </c>
      <c r="C111" s="107" t="s">
        <v>915</v>
      </c>
      <c r="D111" s="174">
        <f>'A2-A&amp;G'!D23</f>
        <v>0</v>
      </c>
      <c r="E111" s="107"/>
      <c r="F111" s="137" t="str">
        <f>+F105</f>
        <v>TE</v>
      </c>
      <c r="G111" s="131">
        <f>$I$183</f>
        <v>0.9341902831847233</v>
      </c>
      <c r="H111" s="107"/>
      <c r="I111" s="55">
        <f>+G111*D111</f>
        <v>0</v>
      </c>
      <c r="J111" s="107"/>
      <c r="K111" s="107"/>
    </row>
    <row r="112" spans="1:11">
      <c r="A112" s="78" t="s">
        <v>149</v>
      </c>
      <c r="B112" s="71" t="s">
        <v>930</v>
      </c>
      <c r="C112" s="107" t="s">
        <v>265</v>
      </c>
      <c r="D112" s="738">
        <v>510002.8064</v>
      </c>
      <c r="E112" s="107"/>
      <c r="F112" s="115" t="s">
        <v>31</v>
      </c>
      <c r="G112" s="131">
        <f>$I$191</f>
        <v>7.0964263854582682E-2</v>
      </c>
      <c r="H112" s="107"/>
      <c r="I112" s="60">
        <f t="shared" ref="I112:I113" si="8">+G112*D112</f>
        <v>36191.973719947251</v>
      </c>
      <c r="J112" s="107"/>
      <c r="K112" s="107"/>
    </row>
    <row r="113" spans="1:11">
      <c r="A113" s="78" t="s">
        <v>150</v>
      </c>
      <c r="B113" s="71" t="s">
        <v>931</v>
      </c>
      <c r="C113" s="107" t="s">
        <v>676</v>
      </c>
      <c r="D113" s="174">
        <f>'A2-A&amp;G'!D31</f>
        <v>452052.88319999998</v>
      </c>
      <c r="E113" s="107"/>
      <c r="F113" s="115" t="str">
        <f>+F112</f>
        <v>W/S</v>
      </c>
      <c r="G113" s="131">
        <f>$I$191</f>
        <v>7.0964263854582682E-2</v>
      </c>
      <c r="H113" s="107"/>
      <c r="I113" s="60">
        <f t="shared" si="8"/>
        <v>32079.600079629647</v>
      </c>
      <c r="J113" s="107"/>
      <c r="K113" s="107"/>
    </row>
    <row r="114" spans="1:11">
      <c r="A114" s="78">
        <v>6</v>
      </c>
      <c r="B114" s="71" t="s">
        <v>32</v>
      </c>
      <c r="C114" s="593" t="s">
        <v>916</v>
      </c>
      <c r="D114" s="73">
        <v>0</v>
      </c>
      <c r="E114" s="107"/>
      <c r="F114" s="107" t="s">
        <v>67</v>
      </c>
      <c r="G114" s="131">
        <f>$K$195</f>
        <v>6.9716558849231183E-2</v>
      </c>
      <c r="H114" s="107"/>
      <c r="I114" s="63">
        <f t="shared" si="6"/>
        <v>0</v>
      </c>
      <c r="J114" s="107"/>
      <c r="K114" s="107"/>
    </row>
    <row r="115" spans="1:11" ht="13.8" thickBot="1">
      <c r="A115" s="78">
        <v>7</v>
      </c>
      <c r="B115" s="71" t="s">
        <v>41</v>
      </c>
      <c r="C115" s="107" t="s">
        <v>654</v>
      </c>
      <c r="D115" s="73">
        <v>0</v>
      </c>
      <c r="E115" s="107"/>
      <c r="F115" s="107" t="s">
        <v>373</v>
      </c>
      <c r="G115" s="130">
        <v>1</v>
      </c>
      <c r="H115" s="107"/>
      <c r="I115" s="64">
        <f t="shared" si="6"/>
        <v>0</v>
      </c>
      <c r="J115" s="107"/>
      <c r="K115" s="107"/>
    </row>
    <row r="116" spans="1:11">
      <c r="A116" s="78">
        <v>8</v>
      </c>
      <c r="B116" s="71" t="s">
        <v>1218</v>
      </c>
      <c r="C116" s="107"/>
      <c r="D116" s="72">
        <f>+D105-D106-D107+D108-D110+D114+D115+D111+D112-D113</f>
        <v>16282645.483200001</v>
      </c>
      <c r="E116" s="107"/>
      <c r="F116" s="107"/>
      <c r="G116" s="107"/>
      <c r="H116" s="107"/>
      <c r="I116" s="72">
        <f>+I105-I106-I107+I108-I110+I114+I115+I111+I112-I113</f>
        <v>1643491.7893763008</v>
      </c>
      <c r="J116" s="107"/>
      <c r="K116" s="107"/>
    </row>
    <row r="117" spans="1:11">
      <c r="A117" s="78"/>
      <c r="C117" s="107"/>
      <c r="E117" s="107"/>
      <c r="F117" s="107"/>
      <c r="G117" s="107"/>
      <c r="H117" s="107"/>
      <c r="J117" s="107"/>
      <c r="K117" s="107"/>
    </row>
    <row r="118" spans="1:11">
      <c r="A118" s="78"/>
      <c r="B118" s="71" t="s">
        <v>474</v>
      </c>
      <c r="C118" s="107"/>
      <c r="D118" s="107"/>
      <c r="E118" s="107"/>
      <c r="F118" s="107"/>
      <c r="G118" s="107"/>
      <c r="H118" s="107"/>
      <c r="I118" s="107"/>
      <c r="J118" s="107"/>
      <c r="K118" s="107"/>
    </row>
    <row r="119" spans="1:11">
      <c r="A119" s="78">
        <v>9</v>
      </c>
      <c r="B119" s="134" t="str">
        <f>+B105</f>
        <v xml:space="preserve">  Transmission </v>
      </c>
      <c r="C119" s="107" t="s">
        <v>381</v>
      </c>
      <c r="D119" s="73">
        <v>1855677.8317125004</v>
      </c>
      <c r="E119" s="107"/>
      <c r="F119" s="107" t="s">
        <v>11</v>
      </c>
      <c r="G119" s="114">
        <f>$I$174</f>
        <v>0.94993800079121415</v>
      </c>
      <c r="H119" s="107"/>
      <c r="I119" s="63">
        <f>+G119*D119</f>
        <v>1762778.8895695477</v>
      </c>
      <c r="J119" s="107"/>
      <c r="K119" s="133"/>
    </row>
    <row r="120" spans="1:11">
      <c r="A120" s="78">
        <v>10</v>
      </c>
      <c r="B120" s="71" t="s">
        <v>127</v>
      </c>
      <c r="C120" s="107" t="s">
        <v>129</v>
      </c>
      <c r="D120" s="73">
        <f>2254790+0</f>
        <v>2254790</v>
      </c>
      <c r="E120" s="107"/>
      <c r="F120" s="107" t="s">
        <v>31</v>
      </c>
      <c r="G120" s="131">
        <f>$I$191</f>
        <v>7.0964263854582682E-2</v>
      </c>
      <c r="H120" s="107"/>
      <c r="I120" s="63">
        <f>+G120*D120</f>
        <v>160009.51249667449</v>
      </c>
      <c r="J120" s="107"/>
      <c r="K120" s="133"/>
    </row>
    <row r="121" spans="1:11">
      <c r="A121" s="78">
        <v>11</v>
      </c>
      <c r="B121" s="134" t="str">
        <f>+B114</f>
        <v xml:space="preserve">  Common</v>
      </c>
      <c r="C121" s="107" t="s">
        <v>387</v>
      </c>
      <c r="D121" s="73">
        <v>205654</v>
      </c>
      <c r="E121" s="107"/>
      <c r="F121" s="107" t="s">
        <v>67</v>
      </c>
      <c r="G121" s="131">
        <f>$K$195</f>
        <v>6.9716558849231183E-2</v>
      </c>
      <c r="H121" s="107"/>
      <c r="I121" s="63">
        <f>+G121*D121</f>
        <v>14337.48919357979</v>
      </c>
      <c r="J121" s="107"/>
      <c r="K121" s="133"/>
    </row>
    <row r="122" spans="1:11" s="2" customFormat="1" ht="13.8" thickBot="1">
      <c r="A122" s="74" t="s">
        <v>383</v>
      </c>
      <c r="B122" s="57" t="s">
        <v>389</v>
      </c>
      <c r="C122" s="75" t="s">
        <v>481</v>
      </c>
      <c r="D122" s="73">
        <v>0</v>
      </c>
      <c r="E122" s="55"/>
      <c r="F122" s="73"/>
      <c r="G122" s="686"/>
      <c r="H122" s="55"/>
      <c r="I122" s="68">
        <f>+G122*D122</f>
        <v>0</v>
      </c>
      <c r="J122" s="52"/>
      <c r="K122" s="62"/>
    </row>
    <row r="123" spans="1:11">
      <c r="A123" s="78">
        <v>12</v>
      </c>
      <c r="B123" s="71" t="s">
        <v>390</v>
      </c>
      <c r="C123" s="52" t="s">
        <v>391</v>
      </c>
      <c r="D123" s="72">
        <f>SUM(D119:D122)</f>
        <v>4316121.8317125002</v>
      </c>
      <c r="E123" s="107"/>
      <c r="F123" s="107"/>
      <c r="G123" s="107"/>
      <c r="H123" s="107"/>
      <c r="I123" s="63">
        <f>SUM(I119:I122)</f>
        <v>1937125.891259802</v>
      </c>
      <c r="J123" s="107"/>
      <c r="K123" s="107"/>
    </row>
    <row r="124" spans="1:11">
      <c r="A124" s="78"/>
      <c r="B124" s="71"/>
      <c r="C124" s="107"/>
      <c r="D124" s="107"/>
      <c r="E124" s="107"/>
      <c r="F124" s="107"/>
      <c r="G124" s="107"/>
      <c r="H124" s="107"/>
      <c r="I124" s="107"/>
      <c r="J124" s="107"/>
      <c r="K124" s="107"/>
    </row>
    <row r="125" spans="1:11">
      <c r="A125" s="78" t="s">
        <v>2</v>
      </c>
      <c r="B125" s="71" t="s">
        <v>468</v>
      </c>
      <c r="D125" s="107"/>
      <c r="E125" s="107"/>
      <c r="F125" s="107"/>
      <c r="G125" s="107"/>
      <c r="H125" s="107"/>
      <c r="I125" s="107"/>
      <c r="J125" s="107"/>
      <c r="K125" s="107"/>
    </row>
    <row r="126" spans="1:11">
      <c r="A126" s="78"/>
      <c r="B126" s="71" t="s">
        <v>42</v>
      </c>
      <c r="E126" s="107"/>
      <c r="F126" s="107"/>
      <c r="H126" s="107"/>
      <c r="J126" s="107"/>
      <c r="K126" s="133"/>
    </row>
    <row r="127" spans="1:11">
      <c r="A127" s="78">
        <v>13</v>
      </c>
      <c r="B127" s="71" t="s">
        <v>43</v>
      </c>
      <c r="C127" s="107" t="s">
        <v>106</v>
      </c>
      <c r="D127" s="73">
        <f>842439+8599+23963</f>
        <v>875001</v>
      </c>
      <c r="E127" s="107"/>
      <c r="F127" s="107" t="s">
        <v>31</v>
      </c>
      <c r="G127" s="131">
        <f>$I$191</f>
        <v>7.0964263854582682E-2</v>
      </c>
      <c r="H127" s="107"/>
      <c r="I127" s="63">
        <f>+G127*D127</f>
        <v>62093.801837023704</v>
      </c>
      <c r="J127" s="107"/>
      <c r="K127" s="133"/>
    </row>
    <row r="128" spans="1:11">
      <c r="A128" s="78">
        <v>14</v>
      </c>
      <c r="B128" s="71" t="s">
        <v>44</v>
      </c>
      <c r="C128" s="115" t="str">
        <f>+C127</f>
        <v>263.i</v>
      </c>
      <c r="D128" s="73">
        <v>0</v>
      </c>
      <c r="E128" s="107"/>
      <c r="F128" s="115" t="str">
        <f>+F127</f>
        <v>W/S</v>
      </c>
      <c r="G128" s="131">
        <f>$I$191</f>
        <v>7.0964263854582682E-2</v>
      </c>
      <c r="H128" s="107"/>
      <c r="I128" s="63">
        <f>+G128*D128</f>
        <v>0</v>
      </c>
      <c r="J128" s="107"/>
      <c r="K128" s="133"/>
    </row>
    <row r="129" spans="1:11">
      <c r="A129" s="78">
        <v>15</v>
      </c>
      <c r="B129" s="71" t="s">
        <v>45</v>
      </c>
      <c r="C129" s="107" t="s">
        <v>2</v>
      </c>
      <c r="E129" s="107"/>
      <c r="F129" s="107"/>
      <c r="H129" s="107"/>
      <c r="J129" s="107"/>
      <c r="K129" s="133"/>
    </row>
    <row r="130" spans="1:11">
      <c r="A130" s="78">
        <v>16</v>
      </c>
      <c r="B130" s="71" t="s">
        <v>46</v>
      </c>
      <c r="C130" s="107" t="s">
        <v>106</v>
      </c>
      <c r="D130" s="73">
        <v>2884298.3599999994</v>
      </c>
      <c r="E130" s="107"/>
      <c r="F130" s="107" t="s">
        <v>37</v>
      </c>
      <c r="G130" s="131">
        <f>+$G$50</f>
        <v>0.11784364581437545</v>
      </c>
      <c r="H130" s="107"/>
      <c r="I130" s="63">
        <f>+G130*D130</f>
        <v>339896.23435882392</v>
      </c>
      <c r="J130" s="107"/>
      <c r="K130" s="133"/>
    </row>
    <row r="131" spans="1:11">
      <c r="A131" s="78">
        <v>17</v>
      </c>
      <c r="B131" s="71" t="s">
        <v>47</v>
      </c>
      <c r="C131" s="107" t="s">
        <v>106</v>
      </c>
      <c r="D131" s="73">
        <v>1950348.4399999997</v>
      </c>
      <c r="E131" s="107"/>
      <c r="F131" s="115" t="s">
        <v>27</v>
      </c>
      <c r="G131" s="138">
        <v>0</v>
      </c>
      <c r="H131" s="107"/>
      <c r="I131" s="63">
        <v>0</v>
      </c>
      <c r="J131" s="107"/>
      <c r="K131" s="133"/>
    </row>
    <row r="132" spans="1:11">
      <c r="A132" s="78">
        <v>18</v>
      </c>
      <c r="B132" s="71" t="s">
        <v>1119</v>
      </c>
      <c r="C132" s="115" t="str">
        <f>+C131</f>
        <v>263.i</v>
      </c>
      <c r="D132" s="73">
        <v>0</v>
      </c>
      <c r="E132" s="107"/>
      <c r="F132" s="73"/>
      <c r="G132" s="686"/>
      <c r="H132" s="107"/>
      <c r="I132" s="63">
        <f>+G132*D132</f>
        <v>0</v>
      </c>
      <c r="J132" s="107"/>
      <c r="K132" s="133"/>
    </row>
    <row r="133" spans="1:11" ht="13.8" thickBot="1">
      <c r="A133" s="78">
        <v>19</v>
      </c>
      <c r="B133" s="71" t="s">
        <v>1130</v>
      </c>
      <c r="C133" s="107"/>
      <c r="D133" s="175"/>
      <c r="E133" s="107"/>
      <c r="F133" s="107"/>
      <c r="G133" s="131"/>
      <c r="H133" s="107"/>
      <c r="I133" s="63"/>
      <c r="J133" s="107"/>
      <c r="K133" s="133"/>
    </row>
    <row r="134" spans="1:11">
      <c r="A134" s="78">
        <v>20</v>
      </c>
      <c r="B134" s="71" t="s">
        <v>393</v>
      </c>
      <c r="C134" s="52" t="s">
        <v>392</v>
      </c>
      <c r="D134" s="72">
        <f>SUM(D127:D133)</f>
        <v>5709647.7999999989</v>
      </c>
      <c r="E134" s="107"/>
      <c r="F134" s="107"/>
      <c r="G134" s="118"/>
      <c r="H134" s="107"/>
      <c r="I134" s="72">
        <f>SUM(I127:I133)</f>
        <v>401990.03619584761</v>
      </c>
      <c r="J134" s="107"/>
      <c r="K134" s="107"/>
    </row>
    <row r="135" spans="1:11">
      <c r="A135" s="78"/>
      <c r="B135" s="71"/>
      <c r="C135" s="107"/>
      <c r="D135" s="107"/>
      <c r="E135" s="107"/>
      <c r="F135" s="107"/>
      <c r="G135" s="118"/>
      <c r="H135" s="107"/>
      <c r="I135" s="107"/>
      <c r="J135" s="107"/>
      <c r="K135" s="107"/>
    </row>
    <row r="136" spans="1:11">
      <c r="A136" s="78" t="s">
        <v>2</v>
      </c>
      <c r="B136" s="71" t="s">
        <v>49</v>
      </c>
      <c r="C136" s="107" t="s">
        <v>466</v>
      </c>
      <c r="D136" s="107"/>
      <c r="E136" s="107"/>
      <c r="G136" s="139"/>
      <c r="H136" s="107"/>
      <c r="J136" s="107"/>
    </row>
    <row r="137" spans="1:11">
      <c r="A137" s="78">
        <v>21</v>
      </c>
      <c r="B137" s="140" t="s">
        <v>98</v>
      </c>
      <c r="C137" s="107"/>
      <c r="D137" s="141">
        <f>IF(D243&gt;0,1-(((1-D244)*(1-D243))/(1-D244*D243*D245)),0)</f>
        <v>0.20999999999999996</v>
      </c>
      <c r="E137" s="107"/>
      <c r="G137" s="139"/>
      <c r="H137" s="107"/>
      <c r="J137" s="107"/>
    </row>
    <row r="138" spans="1:11">
      <c r="A138" s="78">
        <v>22</v>
      </c>
      <c r="B138" s="103" t="s">
        <v>946</v>
      </c>
      <c r="C138" s="107"/>
      <c r="D138" s="141">
        <f>IF(I215&gt;0,(D137/(1-D137))*(1-I212/I215),0)</f>
        <v>0.1605429368036361</v>
      </c>
      <c r="E138" s="107"/>
      <c r="G138" s="139"/>
      <c r="H138" s="107"/>
      <c r="J138" s="107"/>
    </row>
    <row r="139" spans="1:11">
      <c r="A139" s="78"/>
      <c r="B139" s="71" t="s">
        <v>148</v>
      </c>
      <c r="C139" s="107"/>
      <c r="D139" s="107"/>
      <c r="E139" s="107"/>
      <c r="G139" s="139"/>
      <c r="H139" s="107"/>
      <c r="J139" s="107"/>
    </row>
    <row r="140" spans="1:11">
      <c r="A140" s="78"/>
      <c r="B140" s="71" t="s">
        <v>638</v>
      </c>
      <c r="C140" s="107"/>
      <c r="D140" s="107"/>
      <c r="E140" s="107"/>
      <c r="G140" s="139"/>
      <c r="H140" s="107"/>
      <c r="J140" s="107"/>
    </row>
    <row r="141" spans="1:11">
      <c r="A141" s="78">
        <v>23</v>
      </c>
      <c r="B141" s="140" t="s">
        <v>99</v>
      </c>
      <c r="C141" s="107"/>
      <c r="D141" s="383">
        <f>IF(D137&gt;0,1/(1-D137),0)</f>
        <v>1.2658227848101264</v>
      </c>
      <c r="E141" s="107"/>
      <c r="G141" s="139"/>
      <c r="H141" s="107"/>
      <c r="J141" s="107"/>
    </row>
    <row r="142" spans="1:11">
      <c r="A142" s="78">
        <v>24</v>
      </c>
      <c r="B142" s="71" t="s">
        <v>944</v>
      </c>
      <c r="C142" s="107" t="s">
        <v>386</v>
      </c>
      <c r="D142" s="73">
        <v>2250</v>
      </c>
      <c r="E142" s="107"/>
      <c r="G142" s="139"/>
      <c r="H142" s="107"/>
      <c r="J142" s="107"/>
    </row>
    <row r="143" spans="1:11">
      <c r="A143" s="78" t="s">
        <v>384</v>
      </c>
      <c r="B143" s="54" t="s">
        <v>1199</v>
      </c>
      <c r="C143" s="134" t="s">
        <v>1138</v>
      </c>
      <c r="D143" s="174">
        <f>'A4-Rate Base'!G113</f>
        <v>95264.263039999991</v>
      </c>
      <c r="E143" s="107"/>
      <c r="G143" s="139"/>
      <c r="H143" s="107"/>
      <c r="J143" s="107"/>
    </row>
    <row r="144" spans="1:11">
      <c r="A144" s="78" t="s">
        <v>831</v>
      </c>
      <c r="B144" s="54" t="s">
        <v>1200</v>
      </c>
      <c r="C144" s="52" t="s">
        <v>1170</v>
      </c>
      <c r="D144" s="174">
        <f>'A9-PermDiffs'!G17</f>
        <v>19930.266428099931</v>
      </c>
      <c r="E144" s="107"/>
      <c r="G144" s="139"/>
      <c r="H144" s="107"/>
      <c r="J144" s="107"/>
    </row>
    <row r="145" spans="1:11">
      <c r="A145" s="78" t="s">
        <v>385</v>
      </c>
      <c r="B145" s="54" t="s">
        <v>382</v>
      </c>
      <c r="C145" s="52" t="s">
        <v>949</v>
      </c>
      <c r="D145" s="63">
        <f>D144*D137</f>
        <v>4185.3559499009843</v>
      </c>
      <c r="E145" s="107"/>
      <c r="G145" s="139"/>
      <c r="H145" s="107"/>
      <c r="J145" s="107"/>
    </row>
    <row r="146" spans="1:11">
      <c r="A146" s="78">
        <v>25</v>
      </c>
      <c r="B146" s="140" t="s">
        <v>396</v>
      </c>
      <c r="C146" s="142" t="s">
        <v>394</v>
      </c>
      <c r="D146" s="63">
        <f>D138*D153</f>
        <v>7522693.4454581803</v>
      </c>
      <c r="E146" s="107"/>
      <c r="F146" s="107"/>
      <c r="G146" s="118"/>
      <c r="H146" s="107"/>
      <c r="I146" s="63">
        <f>D138*I153</f>
        <v>1007404.9055542486</v>
      </c>
      <c r="J146" s="107"/>
      <c r="K146" s="143" t="s">
        <v>2</v>
      </c>
    </row>
    <row r="147" spans="1:11">
      <c r="A147" s="78">
        <v>26</v>
      </c>
      <c r="B147" s="103" t="s">
        <v>397</v>
      </c>
      <c r="C147" s="142" t="s">
        <v>395</v>
      </c>
      <c r="D147" s="63">
        <f>D141*D142</f>
        <v>2848.1012658227846</v>
      </c>
      <c r="E147" s="107"/>
      <c r="F147" s="103" t="s">
        <v>37</v>
      </c>
      <c r="G147" s="65">
        <f>GP</f>
        <v>0.11784364581437545</v>
      </c>
      <c r="H147" s="107"/>
      <c r="I147" s="63">
        <f>G147*D147</f>
        <v>335.63063681309461</v>
      </c>
      <c r="J147" s="107"/>
      <c r="K147" s="143"/>
    </row>
    <row r="148" spans="1:11">
      <c r="A148" s="78" t="s">
        <v>398</v>
      </c>
      <c r="B148" s="61" t="s">
        <v>400</v>
      </c>
      <c r="C148" s="76" t="s">
        <v>402</v>
      </c>
      <c r="D148" s="63">
        <f>D141*D143</f>
        <v>120587.67473417718</v>
      </c>
      <c r="E148" s="107"/>
      <c r="G148" s="66"/>
      <c r="H148" s="107"/>
      <c r="I148" s="63">
        <f>D148</f>
        <v>120587.67473417718</v>
      </c>
      <c r="J148" s="107"/>
      <c r="K148" s="143"/>
    </row>
    <row r="149" spans="1:11" ht="13.8" thickBot="1">
      <c r="A149" s="78" t="s">
        <v>399</v>
      </c>
      <c r="B149" s="61" t="s">
        <v>401</v>
      </c>
      <c r="C149" s="76" t="s">
        <v>403</v>
      </c>
      <c r="D149" s="63">
        <f>D141*D145</f>
        <v>5297.9189239252964</v>
      </c>
      <c r="E149" s="107"/>
      <c r="G149" s="66"/>
      <c r="H149" s="107"/>
      <c r="I149" s="63">
        <f>D149</f>
        <v>5297.9189239252964</v>
      </c>
      <c r="J149" s="107"/>
      <c r="K149" s="143"/>
    </row>
    <row r="150" spans="1:11">
      <c r="A150" s="78">
        <v>27</v>
      </c>
      <c r="B150" s="140" t="s">
        <v>92</v>
      </c>
      <c r="C150" s="61" t="s">
        <v>945</v>
      </c>
      <c r="D150" s="72">
        <f>D146+D149-D147-D148</f>
        <v>7404555.5883821063</v>
      </c>
      <c r="E150" s="107"/>
      <c r="F150" s="107" t="s">
        <v>2</v>
      </c>
      <c r="G150" s="118" t="s">
        <v>2</v>
      </c>
      <c r="H150" s="107"/>
      <c r="I150" s="72">
        <f>I146+I149-I147-I148</f>
        <v>891779.51910718356</v>
      </c>
      <c r="J150" s="107"/>
      <c r="K150" s="107"/>
    </row>
    <row r="151" spans="1:11">
      <c r="A151" s="78" t="s">
        <v>2</v>
      </c>
      <c r="C151" s="144"/>
      <c r="D151" s="107"/>
      <c r="E151" s="107"/>
      <c r="F151" s="107"/>
      <c r="G151" s="118"/>
      <c r="H151" s="107"/>
      <c r="I151" s="107"/>
      <c r="J151" s="107"/>
      <c r="K151" s="107"/>
    </row>
    <row r="152" spans="1:11">
      <c r="B152" s="71" t="s">
        <v>50</v>
      </c>
      <c r="C152" s="133"/>
      <c r="J152" s="107"/>
    </row>
    <row r="153" spans="1:11">
      <c r="A153" s="78">
        <v>28</v>
      </c>
      <c r="B153" s="140" t="s">
        <v>701</v>
      </c>
      <c r="C153" s="752" t="s">
        <v>1084</v>
      </c>
      <c r="D153" s="174">
        <f>+$I215*D91+I218</f>
        <v>46857828.785450503</v>
      </c>
      <c r="E153" s="107"/>
      <c r="F153" s="107"/>
      <c r="G153" s="139"/>
      <c r="H153" s="107"/>
      <c r="I153" s="63">
        <f>+$I215*I91+I218</f>
        <v>6274987.399703729</v>
      </c>
      <c r="J153" s="107"/>
      <c r="K153" s="133"/>
    </row>
    <row r="154" spans="1:11">
      <c r="A154" s="78"/>
      <c r="B154" s="71"/>
      <c r="D154" s="107"/>
      <c r="E154" s="107"/>
      <c r="F154" s="107"/>
      <c r="G154" s="139"/>
      <c r="H154" s="107"/>
      <c r="I154" s="107"/>
      <c r="J154" s="107"/>
      <c r="K154" s="133"/>
    </row>
    <row r="155" spans="1:11" ht="13.8" thickBot="1">
      <c r="A155" s="78">
        <v>29</v>
      </c>
      <c r="B155" s="71" t="s">
        <v>405</v>
      </c>
      <c r="C155" s="107" t="s">
        <v>404</v>
      </c>
      <c r="D155" s="77">
        <f>+D116+D123+D134+D150+D153</f>
        <v>80570799.488745108</v>
      </c>
      <c r="E155" s="107"/>
      <c r="F155" s="107"/>
      <c r="G155" s="107"/>
      <c r="H155" s="107"/>
      <c r="I155" s="77">
        <f>+I116+I123+I134+I150+I153</f>
        <v>11149374.635642864</v>
      </c>
      <c r="J155" s="71"/>
      <c r="K155" s="71"/>
    </row>
    <row r="156" spans="1:11" ht="13.8" thickTop="1">
      <c r="A156" s="78"/>
      <c r="B156" s="71"/>
      <c r="C156" s="107"/>
      <c r="D156" s="115"/>
      <c r="E156" s="107"/>
      <c r="F156" s="107"/>
      <c r="G156" s="107"/>
      <c r="H156" s="107"/>
      <c r="I156" s="115"/>
      <c r="J156" s="71"/>
      <c r="K156" s="71"/>
    </row>
    <row r="157" spans="1:11">
      <c r="B157" s="71"/>
      <c r="C157" s="71"/>
      <c r="D157" s="104"/>
      <c r="E157" s="71"/>
      <c r="F157" s="773"/>
      <c r="G157" s="773"/>
      <c r="H157" s="773"/>
      <c r="I157" s="773"/>
      <c r="J157" s="773"/>
      <c r="K157" s="773"/>
    </row>
    <row r="158" spans="1:11">
      <c r="B158" s="71"/>
      <c r="C158" s="71"/>
      <c r="D158" s="104"/>
      <c r="E158" s="71"/>
      <c r="F158" s="71"/>
      <c r="G158" s="71"/>
      <c r="H158" s="71"/>
      <c r="I158" s="774" t="str">
        <f>I1</f>
        <v>Actual Attachment H</v>
      </c>
      <c r="J158" s="774"/>
      <c r="K158" s="774"/>
    </row>
    <row r="159" spans="1:11">
      <c r="B159" s="71"/>
      <c r="C159" s="71"/>
      <c r="D159" s="104"/>
      <c r="E159" s="71"/>
      <c r="F159" s="71"/>
      <c r="G159" s="71"/>
      <c r="H159" s="71"/>
      <c r="I159" s="71"/>
      <c r="J159" s="773" t="s">
        <v>244</v>
      </c>
      <c r="K159" s="773"/>
    </row>
    <row r="160" spans="1:11">
      <c r="B160" s="71"/>
      <c r="C160" s="71"/>
      <c r="D160" s="104"/>
      <c r="E160" s="71"/>
      <c r="F160" s="71"/>
      <c r="G160" s="71"/>
      <c r="H160" s="71"/>
      <c r="I160" s="71"/>
      <c r="J160" s="105"/>
      <c r="K160" s="105"/>
    </row>
    <row r="161" spans="1:11">
      <c r="B161" s="104" t="s">
        <v>0</v>
      </c>
      <c r="C161" s="71"/>
      <c r="D161" s="78" t="s">
        <v>1</v>
      </c>
      <c r="E161" s="71"/>
      <c r="F161" s="71"/>
      <c r="G161" s="770" t="str">
        <f>K4</f>
        <v>Actuals - For the 12 months ended 12/31/2022</v>
      </c>
      <c r="H161" s="770"/>
      <c r="I161" s="770"/>
      <c r="J161" s="770"/>
      <c r="K161" s="770"/>
    </row>
    <row r="162" spans="1:11">
      <c r="B162" s="71"/>
      <c r="C162" s="107"/>
      <c r="D162" s="108" t="s">
        <v>3</v>
      </c>
      <c r="E162" s="107"/>
      <c r="F162" s="107"/>
      <c r="G162" s="107"/>
      <c r="H162" s="71"/>
      <c r="I162" s="71"/>
      <c r="J162" s="71"/>
      <c r="K162" s="71"/>
    </row>
    <row r="163" spans="1:11" ht="9" customHeight="1">
      <c r="A163" s="78"/>
      <c r="J163" s="107"/>
      <c r="K163" s="107"/>
    </row>
    <row r="164" spans="1:11">
      <c r="A164" s="78"/>
      <c r="D164" s="122" t="str">
        <f>C7</f>
        <v>Cheyenne Light, Fuel &amp; Power</v>
      </c>
      <c r="J164" s="107"/>
      <c r="K164" s="107"/>
    </row>
    <row r="165" spans="1:11">
      <c r="A165" s="78"/>
      <c r="D165" s="136"/>
      <c r="J165" s="107"/>
      <c r="K165" s="107"/>
    </row>
    <row r="166" spans="1:11">
      <c r="A166" s="78"/>
      <c r="D166" s="126" t="s">
        <v>139</v>
      </c>
      <c r="E166" s="71"/>
      <c r="F166" s="71"/>
      <c r="G166" s="71"/>
      <c r="H166" s="71"/>
      <c r="I166" s="71"/>
      <c r="J166" s="107"/>
      <c r="K166" s="107"/>
    </row>
    <row r="167" spans="1:11">
      <c r="A167" s="78" t="s">
        <v>4</v>
      </c>
      <c r="B167" s="78" t="s">
        <v>15</v>
      </c>
      <c r="C167" s="78" t="s">
        <v>16</v>
      </c>
      <c r="D167" s="78" t="s">
        <v>17</v>
      </c>
      <c r="E167" s="107" t="s">
        <v>2</v>
      </c>
      <c r="F167" s="107"/>
      <c r="G167" s="124" t="s">
        <v>18</v>
      </c>
      <c r="H167" s="107"/>
      <c r="I167" s="124" t="s">
        <v>19</v>
      </c>
      <c r="J167" s="107"/>
      <c r="K167" s="107"/>
    </row>
    <row r="168" spans="1:11" ht="13.8" thickBot="1">
      <c r="A168" s="111" t="s">
        <v>6</v>
      </c>
      <c r="B168" s="71" t="s">
        <v>131</v>
      </c>
      <c r="C168" s="71"/>
      <c r="D168" s="71"/>
      <c r="E168" s="71"/>
      <c r="F168" s="71"/>
      <c r="G168" s="71"/>
      <c r="J168" s="107"/>
      <c r="K168" s="107"/>
    </row>
    <row r="169" spans="1:11">
      <c r="A169" s="78">
        <v>1</v>
      </c>
      <c r="B169" s="71" t="s">
        <v>407</v>
      </c>
      <c r="C169" s="71" t="s">
        <v>406</v>
      </c>
      <c r="D169" s="107"/>
      <c r="E169" s="107"/>
      <c r="F169" s="107"/>
      <c r="G169" s="107"/>
      <c r="H169" s="107"/>
      <c r="I169" s="174">
        <f>D46</f>
        <v>86957649.413846165</v>
      </c>
      <c r="J169" s="107"/>
      <c r="K169" s="107"/>
    </row>
    <row r="170" spans="1:11">
      <c r="A170" s="78">
        <v>2</v>
      </c>
      <c r="B170" s="71" t="s">
        <v>408</v>
      </c>
      <c r="C170" s="103" t="s">
        <v>467</v>
      </c>
      <c r="I170" s="753">
        <v>0</v>
      </c>
      <c r="J170" s="107"/>
      <c r="K170" s="107"/>
    </row>
    <row r="171" spans="1:11" ht="13.8" thickBot="1">
      <c r="A171" s="78">
        <v>3</v>
      </c>
      <c r="B171" s="145" t="s">
        <v>409</v>
      </c>
      <c r="C171" s="145" t="s">
        <v>361</v>
      </c>
      <c r="D171" s="107"/>
      <c r="E171" s="107"/>
      <c r="F171" s="107"/>
      <c r="G171" s="108"/>
      <c r="H171" s="107"/>
      <c r="I171" s="146">
        <v>4353273.7761538448</v>
      </c>
      <c r="J171" s="107"/>
      <c r="K171" s="107"/>
    </row>
    <row r="172" spans="1:11">
      <c r="A172" s="78">
        <v>4</v>
      </c>
      <c r="B172" s="71" t="s">
        <v>410</v>
      </c>
      <c r="C172" s="71" t="s">
        <v>411</v>
      </c>
      <c r="D172" s="107"/>
      <c r="E172" s="107"/>
      <c r="F172" s="107"/>
      <c r="G172" s="108"/>
      <c r="H172" s="107"/>
      <c r="I172" s="115">
        <f>I169-I170-I171</f>
        <v>82604375.637692317</v>
      </c>
      <c r="J172" s="107"/>
      <c r="K172" s="107"/>
    </row>
    <row r="173" spans="1:11" ht="9" customHeight="1">
      <c r="A173" s="78"/>
      <c r="C173" s="71"/>
      <c r="D173" s="107"/>
      <c r="E173" s="107"/>
      <c r="F173" s="107"/>
      <c r="G173" s="108"/>
      <c r="H173" s="107"/>
      <c r="J173" s="107"/>
      <c r="K173" s="107"/>
    </row>
    <row r="174" spans="1:11">
      <c r="A174" s="78">
        <v>5</v>
      </c>
      <c r="B174" s="71" t="s">
        <v>412</v>
      </c>
      <c r="C174" s="110" t="s">
        <v>413</v>
      </c>
      <c r="D174" s="110"/>
      <c r="E174" s="110"/>
      <c r="F174" s="110"/>
      <c r="G174" s="124"/>
      <c r="H174" s="107" t="s">
        <v>53</v>
      </c>
      <c r="I174" s="147">
        <f>IF(I169&gt;0,I172/I169,0)</f>
        <v>0.94993800079121415</v>
      </c>
      <c r="J174" s="107"/>
      <c r="K174" s="107"/>
    </row>
    <row r="175" spans="1:11" ht="9" customHeight="1">
      <c r="A175" s="78"/>
      <c r="J175" s="107"/>
      <c r="K175" s="107"/>
    </row>
    <row r="176" spans="1:11">
      <c r="A176" s="78"/>
      <c r="B176" s="71" t="s">
        <v>51</v>
      </c>
      <c r="J176" s="107"/>
      <c r="K176" s="107"/>
    </row>
    <row r="177" spans="1:11">
      <c r="A177" s="78">
        <v>6</v>
      </c>
      <c r="B177" s="103" t="s">
        <v>414</v>
      </c>
      <c r="C177" s="103" t="s">
        <v>424</v>
      </c>
      <c r="D177" s="71"/>
      <c r="E177" s="71"/>
      <c r="F177" s="71"/>
      <c r="G177" s="78"/>
      <c r="H177" s="71"/>
      <c r="I177" s="174">
        <f>D105</f>
        <v>23350387</v>
      </c>
      <c r="J177" s="107"/>
      <c r="K177" s="107"/>
    </row>
    <row r="178" spans="1:11" ht="13.8" thickBot="1">
      <c r="A178" s="78">
        <v>7</v>
      </c>
      <c r="B178" s="145" t="s">
        <v>423</v>
      </c>
      <c r="C178" s="145" t="s">
        <v>422</v>
      </c>
      <c r="D178" s="107"/>
      <c r="E178" s="107"/>
      <c r="F178" s="107"/>
      <c r="G178" s="107"/>
      <c r="H178" s="107"/>
      <c r="I178" s="149">
        <f>D106</f>
        <v>387094</v>
      </c>
      <c r="J178" s="107"/>
      <c r="K178" s="107"/>
    </row>
    <row r="179" spans="1:11">
      <c r="A179" s="78">
        <v>8</v>
      </c>
      <c r="B179" s="71" t="s">
        <v>416</v>
      </c>
      <c r="C179" s="110" t="s">
        <v>415</v>
      </c>
      <c r="D179" s="110"/>
      <c r="E179" s="110"/>
      <c r="F179" s="110"/>
      <c r="G179" s="124"/>
      <c r="H179" s="110"/>
      <c r="I179" s="115">
        <f>+I177-I178</f>
        <v>22963293</v>
      </c>
    </row>
    <row r="180" spans="1:11">
      <c r="A180" s="78"/>
      <c r="B180" s="71"/>
      <c r="C180" s="71"/>
      <c r="D180" s="107"/>
      <c r="E180" s="107"/>
      <c r="F180" s="107"/>
      <c r="G180" s="107"/>
    </row>
    <row r="181" spans="1:11">
      <c r="A181" s="78">
        <v>9</v>
      </c>
      <c r="B181" s="71" t="s">
        <v>549</v>
      </c>
      <c r="C181" s="71" t="s">
        <v>425</v>
      </c>
      <c r="D181" s="107"/>
      <c r="E181" s="107"/>
      <c r="F181" s="107"/>
      <c r="G181" s="107"/>
      <c r="H181" s="107"/>
      <c r="I181" s="131">
        <f>IF(I177&gt;0,I179/I177,0)</f>
        <v>0.98342237325659743</v>
      </c>
    </row>
    <row r="182" spans="1:11">
      <c r="A182" s="78">
        <v>10</v>
      </c>
      <c r="B182" s="71" t="s">
        <v>550</v>
      </c>
      <c r="C182" s="71" t="s">
        <v>419</v>
      </c>
      <c r="D182" s="107"/>
      <c r="E182" s="107"/>
      <c r="F182" s="107"/>
      <c r="G182" s="107"/>
      <c r="H182" s="71" t="s">
        <v>11</v>
      </c>
      <c r="I182" s="131">
        <f>$I$174</f>
        <v>0.94993800079121415</v>
      </c>
    </row>
    <row r="183" spans="1:11">
      <c r="A183" s="78">
        <v>11</v>
      </c>
      <c r="B183" s="71" t="s">
        <v>551</v>
      </c>
      <c r="C183" s="71" t="s">
        <v>420</v>
      </c>
      <c r="D183" s="71"/>
      <c r="E183" s="71"/>
      <c r="F183" s="71"/>
      <c r="G183" s="71"/>
      <c r="H183" s="71" t="s">
        <v>52</v>
      </c>
      <c r="I183" s="114">
        <f>+I182*I181</f>
        <v>0.9341902831847233</v>
      </c>
    </row>
    <row r="184" spans="1:11">
      <c r="A184" s="78"/>
      <c r="C184" s="71"/>
      <c r="D184" s="107"/>
      <c r="E184" s="107"/>
      <c r="F184" s="107"/>
      <c r="G184" s="108"/>
      <c r="H184" s="107"/>
    </row>
    <row r="185" spans="1:11">
      <c r="A185" s="78" t="s">
        <v>2</v>
      </c>
      <c r="B185" s="71" t="s">
        <v>54</v>
      </c>
      <c r="C185" s="107"/>
      <c r="D185" s="107"/>
      <c r="E185" s="107"/>
      <c r="F185" s="107"/>
      <c r="G185" s="107"/>
      <c r="H185" s="107"/>
      <c r="I185" s="107"/>
      <c r="J185" s="107"/>
      <c r="K185" s="107"/>
    </row>
    <row r="186" spans="1:11" ht="13.8" thickBot="1">
      <c r="A186" s="78" t="s">
        <v>2</v>
      </c>
      <c r="B186" s="71"/>
      <c r="C186" s="157" t="s">
        <v>55</v>
      </c>
      <c r="D186" s="158" t="s">
        <v>56</v>
      </c>
      <c r="E186" s="158" t="s">
        <v>11</v>
      </c>
      <c r="F186" s="107"/>
      <c r="G186" s="158" t="s">
        <v>57</v>
      </c>
      <c r="H186" s="107"/>
      <c r="I186" s="107"/>
      <c r="J186" s="107"/>
      <c r="K186" s="107"/>
    </row>
    <row r="187" spans="1:11">
      <c r="A187" s="78">
        <v>12</v>
      </c>
      <c r="B187" s="71" t="s">
        <v>26</v>
      </c>
      <c r="C187" s="107" t="s">
        <v>116</v>
      </c>
      <c r="D187" s="116">
        <v>3223348.0850000004</v>
      </c>
      <c r="E187" s="159">
        <v>0</v>
      </c>
      <c r="F187" s="159"/>
      <c r="G187" s="115">
        <f>D187*E187</f>
        <v>0</v>
      </c>
      <c r="H187" s="107"/>
      <c r="I187" s="107"/>
      <c r="J187" s="107"/>
      <c r="K187" s="107"/>
    </row>
    <row r="188" spans="1:11">
      <c r="A188" s="78">
        <v>13</v>
      </c>
      <c r="B188" s="71" t="s">
        <v>28</v>
      </c>
      <c r="C188" s="107" t="s">
        <v>117</v>
      </c>
      <c r="D188" s="116">
        <v>445557.56</v>
      </c>
      <c r="E188" s="546">
        <f>$I$174</f>
        <v>0.94993800079121415</v>
      </c>
      <c r="F188" s="159"/>
      <c r="G188" s="115">
        <f>D188*E188</f>
        <v>423252.05778381147</v>
      </c>
      <c r="H188" s="107"/>
      <c r="I188" s="107"/>
      <c r="J188" s="107"/>
      <c r="K188" s="107"/>
    </row>
    <row r="189" spans="1:11">
      <c r="A189" s="78">
        <v>14</v>
      </c>
      <c r="B189" s="71" t="s">
        <v>29</v>
      </c>
      <c r="C189" s="107" t="s">
        <v>118</v>
      </c>
      <c r="D189" s="116">
        <v>1820077.38</v>
      </c>
      <c r="E189" s="159">
        <v>0</v>
      </c>
      <c r="F189" s="159"/>
      <c r="G189" s="115">
        <f>D189*E189</f>
        <v>0</v>
      </c>
      <c r="H189" s="107"/>
      <c r="I189" s="108" t="s">
        <v>58</v>
      </c>
      <c r="J189" s="107"/>
      <c r="K189" s="107"/>
    </row>
    <row r="190" spans="1:11" ht="13.8" thickBot="1">
      <c r="A190" s="78">
        <v>15</v>
      </c>
      <c r="B190" s="71" t="s">
        <v>59</v>
      </c>
      <c r="C190" s="107" t="s">
        <v>121</v>
      </c>
      <c r="D190" s="146">
        <f>406871.25+68444.3+0</f>
        <v>475315.55</v>
      </c>
      <c r="E190" s="159">
        <v>0</v>
      </c>
      <c r="F190" s="159"/>
      <c r="G190" s="161">
        <f>D190*E190</f>
        <v>0</v>
      </c>
      <c r="H190" s="107"/>
      <c r="I190" s="111" t="s">
        <v>60</v>
      </c>
      <c r="J190" s="107"/>
      <c r="K190" s="107"/>
    </row>
    <row r="191" spans="1:11">
      <c r="A191" s="78">
        <v>16</v>
      </c>
      <c r="B191" s="71" t="s">
        <v>427</v>
      </c>
      <c r="C191" s="107" t="s">
        <v>1235</v>
      </c>
      <c r="D191" s="115">
        <f>SUM(D187:D190)</f>
        <v>5964298.5750000002</v>
      </c>
      <c r="E191" s="107"/>
      <c r="F191" s="107"/>
      <c r="G191" s="115">
        <f>SUM(G187:G190)</f>
        <v>423252.05778381147</v>
      </c>
      <c r="H191" s="78" t="s">
        <v>61</v>
      </c>
      <c r="I191" s="131">
        <f>IF(G191&gt;0,G191/D191,0)</f>
        <v>7.0964263854582682E-2</v>
      </c>
      <c r="J191" s="108" t="s">
        <v>61</v>
      </c>
      <c r="K191" s="143" t="s">
        <v>100</v>
      </c>
    </row>
    <row r="192" spans="1:11" ht="9" customHeight="1">
      <c r="A192" s="78"/>
      <c r="B192" s="71"/>
      <c r="C192" s="107"/>
      <c r="D192" s="107"/>
      <c r="E192" s="107"/>
      <c r="F192" s="107"/>
      <c r="G192" s="107"/>
      <c r="H192" s="107"/>
      <c r="I192" s="107"/>
      <c r="J192" s="107"/>
      <c r="K192" s="107"/>
    </row>
    <row r="193" spans="1:11">
      <c r="A193" s="78"/>
      <c r="B193" s="71" t="s">
        <v>153</v>
      </c>
      <c r="C193" s="107"/>
      <c r="D193" s="125" t="s">
        <v>56</v>
      </c>
      <c r="E193" s="107"/>
      <c r="F193" s="107"/>
      <c r="G193" s="108" t="s">
        <v>62</v>
      </c>
      <c r="H193" s="139" t="s">
        <v>2</v>
      </c>
      <c r="I193" s="132" t="str">
        <f>+I189</f>
        <v>W&amp;S Allocator</v>
      </c>
      <c r="J193" s="107"/>
      <c r="K193" s="107"/>
    </row>
    <row r="194" spans="1:11">
      <c r="A194" s="78">
        <v>17</v>
      </c>
      <c r="B194" s="71" t="s">
        <v>63</v>
      </c>
      <c r="C194" s="107" t="s">
        <v>64</v>
      </c>
      <c r="D194" s="116">
        <v>703226217.15999985</v>
      </c>
      <c r="E194" s="107"/>
      <c r="G194" s="78" t="s">
        <v>65</v>
      </c>
      <c r="H194" s="139"/>
      <c r="I194" s="78" t="s">
        <v>66</v>
      </c>
      <c r="J194" s="107"/>
      <c r="K194" s="78" t="s">
        <v>67</v>
      </c>
    </row>
    <row r="195" spans="1:11">
      <c r="A195" s="78">
        <v>18</v>
      </c>
      <c r="B195" s="71" t="s">
        <v>68</v>
      </c>
      <c r="C195" s="107" t="s">
        <v>107</v>
      </c>
      <c r="D195" s="753">
        <v>0</v>
      </c>
      <c r="E195" s="107"/>
      <c r="G195" s="114">
        <f>IF(D197&gt;0,D194/D197,0)</f>
        <v>0.9824178405076075</v>
      </c>
      <c r="H195" s="108" t="s">
        <v>69</v>
      </c>
      <c r="I195" s="114">
        <f>I191</f>
        <v>7.0964263854582682E-2</v>
      </c>
      <c r="J195" s="139" t="s">
        <v>61</v>
      </c>
      <c r="K195" s="162">
        <f>I195*G195</f>
        <v>6.9716558849231183E-2</v>
      </c>
    </row>
    <row r="196" spans="1:11" ht="13.8" thickBot="1">
      <c r="A196" s="78">
        <v>19</v>
      </c>
      <c r="B196" s="145" t="s">
        <v>59</v>
      </c>
      <c r="C196" s="157" t="s">
        <v>743</v>
      </c>
      <c r="D196" s="146">
        <v>12585516.059999999</v>
      </c>
      <c r="E196" s="107"/>
      <c r="F196" s="107"/>
      <c r="G196" s="107" t="s">
        <v>2</v>
      </c>
      <c r="H196" s="107"/>
      <c r="I196" s="107"/>
      <c r="J196" s="107"/>
      <c r="K196" s="107"/>
    </row>
    <row r="197" spans="1:11">
      <c r="A197" s="78">
        <v>20</v>
      </c>
      <c r="B197" s="71" t="s">
        <v>427</v>
      </c>
      <c r="C197" s="107" t="s">
        <v>428</v>
      </c>
      <c r="D197" s="115">
        <f>D194+D195+D196</f>
        <v>715811733.21999979</v>
      </c>
      <c r="E197" s="107"/>
      <c r="F197" s="107"/>
      <c r="G197" s="107"/>
      <c r="H197" s="107"/>
      <c r="I197" s="107"/>
      <c r="J197" s="107"/>
      <c r="K197" s="107"/>
    </row>
    <row r="198" spans="1:11" ht="9" customHeight="1">
      <c r="A198" s="78"/>
      <c r="B198" s="71"/>
      <c r="C198" s="107"/>
      <c r="E198" s="107"/>
      <c r="F198" s="107"/>
      <c r="G198" s="107"/>
      <c r="H198" s="107"/>
      <c r="I198" s="107"/>
      <c r="J198" s="107"/>
      <c r="K198" s="107"/>
    </row>
    <row r="199" spans="1:11" ht="13.8" thickBot="1">
      <c r="A199" s="78"/>
      <c r="B199" s="71" t="s">
        <v>70</v>
      </c>
      <c r="C199" s="107"/>
      <c r="D199" s="107"/>
      <c r="E199" s="107"/>
      <c r="F199" s="107"/>
      <c r="G199" s="107"/>
      <c r="H199" s="107"/>
      <c r="I199" s="158" t="s">
        <v>56</v>
      </c>
      <c r="J199" s="107"/>
      <c r="K199" s="107"/>
    </row>
    <row r="200" spans="1:11">
      <c r="A200" s="78">
        <v>21</v>
      </c>
      <c r="B200" s="107" t="s">
        <v>431</v>
      </c>
      <c r="C200" s="107" t="s">
        <v>744</v>
      </c>
      <c r="D200" s="107"/>
      <c r="E200" s="107"/>
      <c r="F200" s="107"/>
      <c r="G200" s="107"/>
      <c r="H200" s="107"/>
      <c r="I200" s="163">
        <f>11118640+73327+11725-78740-0+4972420</f>
        <v>16097372</v>
      </c>
      <c r="J200" s="107"/>
      <c r="K200" s="107"/>
    </row>
    <row r="201" spans="1:11" ht="9" customHeight="1">
      <c r="A201" s="78"/>
      <c r="B201" s="107"/>
      <c r="C201" s="107"/>
      <c r="D201" s="107"/>
      <c r="E201" s="107"/>
      <c r="F201" s="107"/>
      <c r="G201" s="107"/>
      <c r="H201" s="107"/>
      <c r="I201" s="107"/>
      <c r="J201" s="107"/>
      <c r="K201" s="107"/>
    </row>
    <row r="202" spans="1:11">
      <c r="A202" s="78">
        <v>22</v>
      </c>
      <c r="B202" s="107" t="s">
        <v>430</v>
      </c>
      <c r="C202" s="107" t="s">
        <v>429</v>
      </c>
      <c r="D202" s="107"/>
      <c r="E202" s="107"/>
      <c r="F202" s="107"/>
      <c r="G202" s="107"/>
      <c r="H202" s="107"/>
      <c r="I202" s="164">
        <v>0</v>
      </c>
      <c r="J202" s="107"/>
      <c r="K202" s="107"/>
    </row>
    <row r="203" spans="1:11" ht="9" customHeight="1">
      <c r="A203" s="78"/>
      <c r="B203" s="71"/>
      <c r="C203" s="107"/>
      <c r="D203" s="107"/>
      <c r="E203" s="107"/>
      <c r="F203" s="107"/>
      <c r="G203" s="107"/>
      <c r="H203" s="107"/>
      <c r="I203" s="107"/>
      <c r="J203" s="107"/>
      <c r="K203" s="107"/>
    </row>
    <row r="204" spans="1:11">
      <c r="A204" s="78"/>
      <c r="B204" s="165" t="s">
        <v>432</v>
      </c>
      <c r="C204" s="107"/>
      <c r="D204" s="107"/>
      <c r="E204" s="107"/>
      <c r="F204" s="107"/>
      <c r="G204" s="107"/>
      <c r="H204" s="107"/>
      <c r="I204" s="107"/>
      <c r="J204" s="107"/>
      <c r="K204" s="107"/>
    </row>
    <row r="205" spans="1:11">
      <c r="A205" s="78">
        <v>23</v>
      </c>
      <c r="B205" s="107" t="s">
        <v>435</v>
      </c>
      <c r="C205" s="107" t="s">
        <v>433</v>
      </c>
      <c r="D205" s="71"/>
      <c r="E205" s="107"/>
      <c r="F205" s="107"/>
      <c r="G205" s="107"/>
      <c r="H205" s="107"/>
      <c r="I205" s="116">
        <v>247950929</v>
      </c>
      <c r="J205" s="107"/>
      <c r="K205" s="107"/>
    </row>
    <row r="206" spans="1:11">
      <c r="A206" s="78">
        <v>24</v>
      </c>
      <c r="B206" s="107" t="s">
        <v>436</v>
      </c>
      <c r="C206" s="107" t="s">
        <v>434</v>
      </c>
      <c r="D206" s="107"/>
      <c r="E206" s="107"/>
      <c r="F206" s="107"/>
      <c r="G206" s="107"/>
      <c r="H206" s="107"/>
      <c r="I206" s="115">
        <f>+D213</f>
        <v>0</v>
      </c>
      <c r="J206" s="107"/>
      <c r="K206" s="107"/>
    </row>
    <row r="207" spans="1:11">
      <c r="A207" s="78">
        <v>25</v>
      </c>
      <c r="B207" s="71" t="s">
        <v>437</v>
      </c>
      <c r="C207" s="71" t="s">
        <v>951</v>
      </c>
      <c r="D207" s="107"/>
      <c r="E207" s="107"/>
      <c r="F207" s="107"/>
      <c r="G207" s="107"/>
      <c r="H207" s="107"/>
      <c r="I207" s="116">
        <v>0</v>
      </c>
      <c r="J207" s="107"/>
      <c r="K207" s="107"/>
    </row>
    <row r="208" spans="1:11" ht="13.8" thickBot="1">
      <c r="A208" s="78">
        <v>26</v>
      </c>
      <c r="B208" s="145" t="s">
        <v>952</v>
      </c>
      <c r="C208" s="145" t="s">
        <v>953</v>
      </c>
      <c r="D208" s="107"/>
      <c r="E208" s="107"/>
      <c r="F208" s="107"/>
      <c r="G208" s="107"/>
      <c r="H208" s="107"/>
      <c r="I208" s="116">
        <v>0</v>
      </c>
      <c r="J208" s="107"/>
      <c r="K208" s="107"/>
    </row>
    <row r="209" spans="1:11">
      <c r="A209" s="78">
        <v>27</v>
      </c>
      <c r="B209" s="71" t="s">
        <v>71</v>
      </c>
      <c r="C209" s="110" t="s">
        <v>954</v>
      </c>
      <c r="D209" s="115"/>
      <c r="E209" s="71"/>
      <c r="F209" s="71"/>
      <c r="G209" s="71"/>
      <c r="H209" s="71"/>
      <c r="I209" s="180">
        <f>I205-I206-I207-I208</f>
        <v>247950929</v>
      </c>
      <c r="J209" s="107"/>
      <c r="K209" s="107"/>
    </row>
    <row r="210" spans="1:11">
      <c r="A210" s="78"/>
      <c r="B210" s="71"/>
      <c r="C210" s="107"/>
      <c r="D210" s="107"/>
      <c r="E210" s="107"/>
      <c r="F210" s="107"/>
      <c r="G210" s="108" t="s">
        <v>72</v>
      </c>
      <c r="H210" s="107"/>
      <c r="I210" s="107"/>
      <c r="J210" s="107"/>
      <c r="K210" s="107"/>
    </row>
    <row r="211" spans="1:11" ht="13.8" thickBot="1">
      <c r="A211" s="78"/>
      <c r="B211" s="71"/>
      <c r="C211" s="107"/>
      <c r="D211" s="111" t="s">
        <v>56</v>
      </c>
      <c r="E211" s="111" t="s">
        <v>73</v>
      </c>
      <c r="F211" s="107"/>
      <c r="G211" s="111" t="s">
        <v>472</v>
      </c>
      <c r="H211" s="107"/>
      <c r="I211" s="111" t="s">
        <v>74</v>
      </c>
      <c r="J211" s="107"/>
      <c r="K211" s="107"/>
    </row>
    <row r="212" spans="1:11">
      <c r="A212" s="78">
        <v>28</v>
      </c>
      <c r="B212" s="71" t="s">
        <v>440</v>
      </c>
      <c r="C212" s="71" t="s">
        <v>438</v>
      </c>
      <c r="D212" s="116">
        <v>195000000</v>
      </c>
      <c r="E212" s="166">
        <f>IF($D$215&gt;0,D212/$D$215,0)</f>
        <v>0.44022935100334781</v>
      </c>
      <c r="F212" s="167"/>
      <c r="G212" s="168">
        <f>IF(D212&gt;0,I200/D212,0)</f>
        <v>8.2550625641025638E-2</v>
      </c>
      <c r="I212" s="168">
        <f>G212*E212</f>
        <v>3.6341208350869042E-2</v>
      </c>
      <c r="J212" s="169" t="s">
        <v>75</v>
      </c>
    </row>
    <row r="213" spans="1:11">
      <c r="A213" s="78">
        <v>29</v>
      </c>
      <c r="B213" s="71" t="s">
        <v>441</v>
      </c>
      <c r="C213" s="71" t="s">
        <v>439</v>
      </c>
      <c r="D213" s="116">
        <v>0</v>
      </c>
      <c r="E213" s="166">
        <f>IF($D$215&gt;0,D213/$D$215,0)</f>
        <v>0</v>
      </c>
      <c r="F213" s="167"/>
      <c r="G213" s="168">
        <f>IF(D213&gt;0,I202/D213,0)</f>
        <v>0</v>
      </c>
      <c r="I213" s="168">
        <f>G213*E213</f>
        <v>0</v>
      </c>
      <c r="J213" s="107"/>
    </row>
    <row r="214" spans="1:11" ht="13.8" thickBot="1">
      <c r="A214" s="78">
        <v>30</v>
      </c>
      <c r="B214" s="145" t="s">
        <v>442</v>
      </c>
      <c r="C214" s="145" t="s">
        <v>955</v>
      </c>
      <c r="D214" s="161">
        <f>I209</f>
        <v>247950929</v>
      </c>
      <c r="E214" s="166">
        <f>IF($D$215&gt;0,D214/$D$215,0)</f>
        <v>0.55977064899665219</v>
      </c>
      <c r="F214" s="167"/>
      <c r="G214" s="718">
        <v>9.9000000000000005E-2</v>
      </c>
      <c r="I214" s="170">
        <f>G214*E214</f>
        <v>5.5417294250668568E-2</v>
      </c>
      <c r="J214" s="107"/>
    </row>
    <row r="215" spans="1:11">
      <c r="A215" s="78">
        <v>31</v>
      </c>
      <c r="B215" s="71" t="s">
        <v>388</v>
      </c>
      <c r="C215" s="110" t="s">
        <v>956</v>
      </c>
      <c r="D215" s="115">
        <f>D214+D213+D212</f>
        <v>442950929</v>
      </c>
      <c r="E215" s="107" t="s">
        <v>2</v>
      </c>
      <c r="F215" s="107"/>
      <c r="G215" s="107"/>
      <c r="H215" s="107"/>
      <c r="I215" s="168">
        <f>SUM(I212:I214)</f>
        <v>9.1758502601537617E-2</v>
      </c>
      <c r="J215" s="169" t="s">
        <v>76</v>
      </c>
    </row>
    <row r="216" spans="1:11" ht="9" customHeight="1">
      <c r="E216" s="107"/>
      <c r="F216" s="107"/>
      <c r="G216" s="107"/>
      <c r="H216" s="107"/>
    </row>
    <row r="217" spans="1:11">
      <c r="A217" s="771"/>
      <c r="B217" s="771"/>
      <c r="C217" s="771"/>
      <c r="D217" s="107"/>
      <c r="E217" s="107"/>
      <c r="F217" s="133"/>
      <c r="G217" s="772"/>
      <c r="H217" s="772"/>
      <c r="I217" s="772"/>
      <c r="J217" s="772"/>
      <c r="K217" s="772"/>
    </row>
    <row r="218" spans="1:11">
      <c r="A218" s="78">
        <v>32</v>
      </c>
      <c r="B218" s="71" t="s">
        <v>702</v>
      </c>
      <c r="C218" s="71" t="s">
        <v>706</v>
      </c>
      <c r="D218" s="104"/>
      <c r="E218" s="71"/>
      <c r="F218" s="71"/>
      <c r="G218" s="71"/>
      <c r="H218" s="347"/>
      <c r="I218" s="164">
        <f>SUM('A7-IncentPlant'!F19:F42)</f>
        <v>0</v>
      </c>
      <c r="J218" s="347"/>
      <c r="K218" s="347"/>
    </row>
    <row r="219" spans="1:11">
      <c r="B219" s="71"/>
      <c r="C219" s="71"/>
      <c r="D219" s="104"/>
      <c r="E219" s="71"/>
      <c r="F219" s="71"/>
      <c r="G219" s="773"/>
      <c r="H219" s="773"/>
      <c r="I219" s="773"/>
      <c r="J219" s="773"/>
      <c r="K219" s="773"/>
    </row>
    <row r="220" spans="1:11">
      <c r="B220" s="71"/>
      <c r="C220" s="71"/>
      <c r="D220" s="104"/>
      <c r="E220" s="71"/>
      <c r="F220" s="71"/>
      <c r="G220" s="71"/>
      <c r="H220" s="71"/>
      <c r="I220" s="774" t="str">
        <f>I1</f>
        <v>Actual Attachment H</v>
      </c>
      <c r="J220" s="774"/>
      <c r="K220" s="774"/>
    </row>
    <row r="221" spans="1:11">
      <c r="B221" s="71"/>
      <c r="C221" s="71"/>
      <c r="D221" s="104"/>
      <c r="E221" s="71"/>
      <c r="F221" s="71"/>
      <c r="G221" s="71"/>
      <c r="H221" s="71"/>
      <c r="I221" s="71"/>
      <c r="J221" s="773" t="s">
        <v>359</v>
      </c>
      <c r="K221" s="773"/>
    </row>
    <row r="222" spans="1:11">
      <c r="B222" s="71"/>
      <c r="C222" s="71"/>
      <c r="D222" s="104"/>
      <c r="E222" s="71"/>
      <c r="F222" s="71"/>
      <c r="G222" s="71"/>
      <c r="H222" s="71"/>
      <c r="I222" s="71"/>
      <c r="J222" s="71"/>
      <c r="K222" s="105"/>
    </row>
    <row r="223" spans="1:11">
      <c r="B223" s="104" t="s">
        <v>0</v>
      </c>
      <c r="C223" s="71"/>
      <c r="D223" s="78" t="s">
        <v>1</v>
      </c>
      <c r="E223" s="71"/>
      <c r="F223" s="71"/>
      <c r="G223" s="71"/>
      <c r="H223" s="71"/>
      <c r="I223" s="71"/>
      <c r="J223" s="71"/>
      <c r="K223" s="121" t="str">
        <f>K4</f>
        <v>Actuals - For the 12 months ended 12/31/2022</v>
      </c>
    </row>
    <row r="224" spans="1:11">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777" t="s">
        <v>1023</v>
      </c>
      <c r="C233" s="777"/>
      <c r="D233" s="777"/>
      <c r="E233" s="777"/>
      <c r="F233" s="777"/>
      <c r="G233" s="777"/>
      <c r="H233" s="777"/>
      <c r="I233" s="777"/>
      <c r="J233" s="777"/>
      <c r="K233" s="777"/>
    </row>
    <row r="234" spans="1:11" ht="26.25" customHeight="1">
      <c r="A234" s="79" t="s">
        <v>81</v>
      </c>
      <c r="B234" s="761" t="s">
        <v>1203</v>
      </c>
      <c r="C234" s="761"/>
      <c r="D234" s="761"/>
      <c r="E234" s="761"/>
      <c r="F234" s="761"/>
      <c r="G234" s="761"/>
      <c r="H234" s="761"/>
      <c r="I234" s="761"/>
      <c r="J234" s="761"/>
      <c r="K234" s="761"/>
    </row>
    <row r="235" spans="1:11" ht="27" customHeight="1">
      <c r="A235" s="79" t="s">
        <v>82</v>
      </c>
      <c r="B235" s="760" t="s">
        <v>1125</v>
      </c>
      <c r="C235" s="760"/>
      <c r="D235" s="760"/>
      <c r="E235" s="760"/>
      <c r="F235" s="760"/>
      <c r="G235" s="760"/>
      <c r="H235" s="760"/>
      <c r="I235" s="760"/>
      <c r="J235" s="83"/>
      <c r="K235" s="83"/>
    </row>
    <row r="236" spans="1:11">
      <c r="A236" s="79" t="s">
        <v>83</v>
      </c>
      <c r="B236" s="761" t="s">
        <v>920</v>
      </c>
      <c r="C236" s="761"/>
      <c r="D236" s="761"/>
      <c r="E236" s="761"/>
      <c r="F236" s="761"/>
      <c r="G236" s="761"/>
      <c r="H236" s="761"/>
      <c r="I236" s="761"/>
      <c r="J236" s="761"/>
      <c r="K236" s="761"/>
    </row>
    <row r="237" spans="1:11" ht="28.5" customHeight="1">
      <c r="A237" s="79" t="s">
        <v>84</v>
      </c>
      <c r="B237" s="768" t="s">
        <v>921</v>
      </c>
      <c r="C237" s="768"/>
      <c r="D237" s="768"/>
      <c r="E237" s="768"/>
      <c r="F237" s="768"/>
      <c r="G237" s="768"/>
      <c r="H237" s="768"/>
      <c r="I237" s="768"/>
      <c r="J237" s="86"/>
      <c r="K237" s="86"/>
    </row>
    <row r="238" spans="1:11">
      <c r="A238" s="79" t="s">
        <v>85</v>
      </c>
      <c r="B238" s="80" t="s">
        <v>922</v>
      </c>
      <c r="C238" s="71"/>
      <c r="D238" s="71"/>
      <c r="E238" s="71"/>
      <c r="F238" s="71"/>
      <c r="G238" s="71"/>
      <c r="H238" s="71"/>
      <c r="I238" s="71"/>
      <c r="J238" s="83"/>
      <c r="K238" s="83"/>
    </row>
    <row r="239" spans="1:11" ht="29.25" customHeight="1">
      <c r="A239" s="79" t="s">
        <v>449</v>
      </c>
      <c r="B239" s="760" t="s">
        <v>923</v>
      </c>
      <c r="C239" s="760"/>
      <c r="D239" s="760"/>
      <c r="E239" s="760"/>
      <c r="F239" s="760"/>
      <c r="G239" s="760"/>
      <c r="H239" s="760"/>
      <c r="I239" s="760"/>
      <c r="J239" s="87"/>
      <c r="K239" s="83"/>
    </row>
    <row r="240" spans="1:11" ht="32.25" customHeight="1">
      <c r="A240" s="79" t="s">
        <v>86</v>
      </c>
      <c r="B240" s="760" t="s">
        <v>924</v>
      </c>
      <c r="C240" s="760"/>
      <c r="D240" s="760"/>
      <c r="E240" s="760"/>
      <c r="F240" s="760"/>
      <c r="G240" s="760"/>
      <c r="H240" s="760"/>
      <c r="I240" s="760"/>
      <c r="J240" s="83"/>
      <c r="K240" s="83"/>
    </row>
    <row r="241" spans="1:11" ht="27.75" customHeight="1">
      <c r="A241" s="79" t="s">
        <v>87</v>
      </c>
      <c r="B241" s="760" t="s">
        <v>1104</v>
      </c>
      <c r="C241" s="760"/>
      <c r="D241" s="760"/>
      <c r="E241" s="760"/>
      <c r="F241" s="760"/>
      <c r="G241" s="760"/>
      <c r="H241" s="760"/>
      <c r="I241" s="760"/>
      <c r="J241" s="83"/>
      <c r="K241" s="83"/>
    </row>
    <row r="242" spans="1:11" ht="54" customHeight="1">
      <c r="A242" s="79" t="s">
        <v>88</v>
      </c>
      <c r="B242" s="761" t="s">
        <v>925</v>
      </c>
      <c r="C242" s="761"/>
      <c r="D242" s="761"/>
      <c r="E242" s="761"/>
      <c r="F242" s="761"/>
      <c r="G242" s="761"/>
      <c r="H242" s="761"/>
      <c r="I242" s="761"/>
      <c r="J242" s="761"/>
      <c r="K242" s="761"/>
    </row>
    <row r="243" spans="1:11">
      <c r="A243" s="85" t="s">
        <v>2</v>
      </c>
      <c r="B243" s="71" t="s">
        <v>450</v>
      </c>
      <c r="C243" s="71" t="s">
        <v>93</v>
      </c>
      <c r="D243" s="173">
        <v>0.21</v>
      </c>
      <c r="E243" s="71" t="s">
        <v>451</v>
      </c>
      <c r="F243" s="71"/>
      <c r="G243" s="71"/>
      <c r="H243" s="71"/>
      <c r="I243" s="71"/>
      <c r="J243" s="71"/>
      <c r="K243" s="71"/>
    </row>
    <row r="244" spans="1:11">
      <c r="A244" s="85"/>
      <c r="B244" s="71"/>
      <c r="C244" s="71" t="s">
        <v>94</v>
      </c>
      <c r="D244" s="173">
        <v>0</v>
      </c>
      <c r="E244" s="71" t="s">
        <v>95</v>
      </c>
      <c r="F244" s="71"/>
      <c r="G244" s="71"/>
      <c r="H244" s="71"/>
      <c r="I244" s="71"/>
      <c r="J244" s="71"/>
      <c r="K244" s="71"/>
    </row>
    <row r="245" spans="1:11">
      <c r="A245" s="85"/>
      <c r="B245" s="71"/>
      <c r="C245" s="71" t="s">
        <v>96</v>
      </c>
      <c r="D245" s="173">
        <v>0</v>
      </c>
      <c r="E245" s="71" t="s">
        <v>97</v>
      </c>
      <c r="F245" s="71"/>
      <c r="G245" s="71"/>
      <c r="H245" s="71"/>
      <c r="I245" s="71"/>
      <c r="J245" s="71"/>
      <c r="K245" s="71"/>
    </row>
    <row r="246" spans="1:11" ht="24.75" customHeight="1">
      <c r="A246" s="79" t="s">
        <v>452</v>
      </c>
      <c r="B246" s="767" t="s">
        <v>124</v>
      </c>
      <c r="C246" s="767"/>
      <c r="D246" s="767"/>
      <c r="E246" s="767"/>
      <c r="F246" s="767"/>
      <c r="G246" s="767"/>
      <c r="H246" s="767"/>
      <c r="I246" s="767"/>
      <c r="J246" s="83"/>
      <c r="K246" s="83"/>
    </row>
    <row r="247" spans="1:11" ht="27" customHeight="1">
      <c r="A247" s="79" t="s">
        <v>360</v>
      </c>
      <c r="B247" s="760" t="s">
        <v>453</v>
      </c>
      <c r="C247" s="760"/>
      <c r="D247" s="760"/>
      <c r="E247" s="760"/>
      <c r="F247" s="760"/>
      <c r="G247" s="760"/>
      <c r="H247" s="760"/>
      <c r="I247" s="760"/>
      <c r="J247" s="88"/>
      <c r="K247" s="83"/>
    </row>
    <row r="248" spans="1:11" ht="25.5" customHeight="1">
      <c r="A248" s="79" t="s">
        <v>454</v>
      </c>
      <c r="B248" s="765" t="s">
        <v>1074</v>
      </c>
      <c r="C248" s="765"/>
      <c r="D248" s="765"/>
      <c r="E248" s="765"/>
      <c r="F248" s="765"/>
      <c r="G248" s="765"/>
      <c r="H248" s="765"/>
      <c r="I248" s="765"/>
      <c r="J248" s="765"/>
      <c r="K248" s="765"/>
    </row>
    <row r="249" spans="1:11">
      <c r="A249" s="79" t="s">
        <v>455</v>
      </c>
      <c r="B249" s="768" t="s">
        <v>469</v>
      </c>
      <c r="C249" s="768"/>
      <c r="D249" s="768"/>
      <c r="E249" s="768"/>
      <c r="F249" s="768"/>
      <c r="G249" s="768"/>
      <c r="H249" s="768"/>
      <c r="I249" s="768"/>
      <c r="J249" s="86"/>
      <c r="K249" s="86"/>
    </row>
    <row r="250" spans="1:11">
      <c r="A250" s="79" t="s">
        <v>456</v>
      </c>
      <c r="B250" s="776" t="s">
        <v>1083</v>
      </c>
      <c r="C250" s="776"/>
      <c r="D250" s="776"/>
      <c r="E250" s="776"/>
      <c r="F250" s="776"/>
      <c r="G250" s="776"/>
      <c r="H250" s="776"/>
      <c r="I250" s="776"/>
      <c r="J250" s="776"/>
      <c r="K250" s="776"/>
    </row>
    <row r="251" spans="1:11">
      <c r="A251" s="79" t="s">
        <v>457</v>
      </c>
      <c r="B251" s="778" t="s">
        <v>462</v>
      </c>
      <c r="C251" s="778"/>
      <c r="D251" s="778"/>
      <c r="E251" s="778"/>
      <c r="F251" s="778"/>
      <c r="G251" s="778"/>
      <c r="H251" s="778"/>
      <c r="I251" s="778"/>
      <c r="J251" s="83"/>
      <c r="K251" s="83"/>
    </row>
    <row r="252" spans="1:11" ht="15.75" customHeight="1">
      <c r="A252" s="79" t="s">
        <v>89</v>
      </c>
      <c r="B252" s="769" t="s">
        <v>934</v>
      </c>
      <c r="C252" s="769"/>
      <c r="D252" s="769"/>
      <c r="E252" s="769"/>
      <c r="F252" s="769"/>
      <c r="G252" s="769"/>
      <c r="H252" s="769"/>
      <c r="I252" s="769"/>
      <c r="J252" s="89"/>
      <c r="K252" s="89"/>
    </row>
    <row r="253" spans="1:11" ht="29.25" customHeight="1">
      <c r="A253" s="79" t="s">
        <v>458</v>
      </c>
      <c r="B253" s="766" t="s">
        <v>926</v>
      </c>
      <c r="C253" s="766"/>
      <c r="D253" s="766"/>
      <c r="E253" s="766"/>
      <c r="F253" s="766"/>
      <c r="G253" s="766"/>
      <c r="H253" s="766"/>
      <c r="I253" s="766"/>
      <c r="J253" s="83"/>
      <c r="K253" s="83"/>
    </row>
    <row r="254" spans="1:11" ht="26.25" customHeight="1">
      <c r="A254" s="81" t="s">
        <v>459</v>
      </c>
      <c r="B254" s="762" t="s">
        <v>781</v>
      </c>
      <c r="C254" s="762"/>
      <c r="D254" s="762"/>
      <c r="E254" s="762"/>
      <c r="F254" s="762"/>
      <c r="G254" s="762"/>
      <c r="H254" s="762"/>
      <c r="I254" s="762"/>
      <c r="J254" s="91"/>
      <c r="K254" s="91"/>
    </row>
    <row r="255" spans="1:11" ht="27.75" customHeight="1">
      <c r="A255" s="81" t="s">
        <v>460</v>
      </c>
      <c r="B255" s="763" t="s">
        <v>1136</v>
      </c>
      <c r="C255" s="763"/>
      <c r="D255" s="763"/>
      <c r="E255" s="763"/>
      <c r="F255" s="763"/>
      <c r="G255" s="763"/>
      <c r="H255" s="763"/>
      <c r="I255" s="763"/>
      <c r="J255" s="92"/>
      <c r="K255" s="92"/>
    </row>
    <row r="256" spans="1:11" ht="27.75" customHeight="1">
      <c r="A256" s="81" t="s">
        <v>461</v>
      </c>
      <c r="B256" s="762" t="s">
        <v>745</v>
      </c>
      <c r="C256" s="762"/>
      <c r="D256" s="762"/>
      <c r="E256" s="762"/>
      <c r="F256" s="762"/>
      <c r="G256" s="762"/>
      <c r="H256" s="762"/>
      <c r="I256" s="762"/>
      <c r="J256" s="92"/>
      <c r="K256" s="92"/>
    </row>
    <row r="257" spans="1:11" ht="12.75" customHeight="1">
      <c r="A257" s="81" t="s">
        <v>655</v>
      </c>
      <c r="B257" s="762" t="s">
        <v>656</v>
      </c>
      <c r="C257" s="762"/>
      <c r="D257" s="762"/>
      <c r="E257" s="762"/>
      <c r="F257" s="762"/>
      <c r="G257" s="762"/>
      <c r="H257" s="762"/>
      <c r="I257" s="762"/>
      <c r="J257" s="92"/>
      <c r="K257" s="92"/>
    </row>
    <row r="258" spans="1:11" ht="27.75" customHeight="1">
      <c r="A258" s="81" t="s">
        <v>748</v>
      </c>
      <c r="B258" s="762" t="s">
        <v>927</v>
      </c>
      <c r="C258" s="762"/>
      <c r="D258" s="762"/>
      <c r="E258" s="762"/>
      <c r="F258" s="762"/>
      <c r="G258" s="762"/>
      <c r="H258" s="762"/>
      <c r="I258" s="762"/>
      <c r="J258" s="92"/>
      <c r="K258" s="92"/>
    </row>
    <row r="259" spans="1:11" ht="56.25" customHeight="1">
      <c r="A259" s="81" t="s">
        <v>749</v>
      </c>
      <c r="B259" s="762" t="s">
        <v>928</v>
      </c>
      <c r="C259" s="762"/>
      <c r="D259" s="762"/>
      <c r="E259" s="762"/>
      <c r="F259" s="762"/>
      <c r="G259" s="762"/>
      <c r="H259" s="762"/>
      <c r="I259" s="762"/>
      <c r="J259" s="92"/>
      <c r="K259" s="92"/>
    </row>
    <row r="260" spans="1:11">
      <c r="A260" s="81" t="s">
        <v>1028</v>
      </c>
      <c r="B260" s="762" t="s">
        <v>1029</v>
      </c>
      <c r="C260" s="762"/>
      <c r="D260" s="762"/>
      <c r="E260" s="762"/>
      <c r="F260" s="762"/>
      <c r="G260" s="762"/>
      <c r="H260" s="762"/>
      <c r="I260" s="762"/>
      <c r="J260" s="92"/>
      <c r="K260" s="92"/>
    </row>
    <row r="261" spans="1:11" ht="108.75" customHeight="1">
      <c r="A261" s="81" t="s">
        <v>1118</v>
      </c>
      <c r="B261" s="763" t="s">
        <v>1198</v>
      </c>
      <c r="C261" s="763"/>
      <c r="D261" s="763"/>
      <c r="E261" s="763"/>
      <c r="F261" s="763"/>
      <c r="G261" s="763"/>
      <c r="H261" s="763"/>
      <c r="I261" s="763"/>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764"/>
      <c r="C265" s="764"/>
      <c r="D265" s="764"/>
      <c r="E265" s="764"/>
      <c r="F265" s="764"/>
      <c r="G265" s="764"/>
      <c r="H265" s="764"/>
      <c r="I265" s="764"/>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759"/>
      <c r="C273" s="759"/>
      <c r="D273" s="759"/>
      <c r="E273" s="759"/>
      <c r="F273" s="759"/>
      <c r="G273" s="759"/>
      <c r="H273" s="759"/>
      <c r="I273" s="759"/>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3">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G161:K161"/>
    <mergeCell ref="A217:C217"/>
    <mergeCell ref="G217:K217"/>
    <mergeCell ref="F157:K157"/>
    <mergeCell ref="I1:K1"/>
    <mergeCell ref="J2:K2"/>
    <mergeCell ref="I158:K158"/>
    <mergeCell ref="I93:K93"/>
    <mergeCell ref="J94:K94"/>
    <mergeCell ref="I32:K32"/>
    <mergeCell ref="J33:K33"/>
    <mergeCell ref="F12:G12"/>
    <mergeCell ref="J159:K159"/>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N61"/>
  <sheetViews>
    <sheetView zoomScale="85" zoomScaleNormal="85" workbookViewId="0">
      <selection activeCell="A62" sqref="A62"/>
    </sheetView>
  </sheetViews>
  <sheetFormatPr defaultColWidth="8.7265625" defaultRowHeight="13.2"/>
  <cols>
    <col min="1" max="1" width="4.7265625" style="2" bestFit="1" customWidth="1"/>
    <col min="2" max="2" width="8.26953125" style="2" customWidth="1"/>
    <col min="3" max="3" width="24.08984375" style="2" customWidth="1"/>
    <col min="4" max="4" width="7.54296875" style="2" bestFit="1" customWidth="1"/>
    <col min="5" max="5" width="9.54296875" style="2" bestFit="1" customWidth="1"/>
    <col min="6" max="12" width="9" style="2" customWidth="1"/>
    <col min="13" max="13" width="8.08984375" style="2" customWidth="1"/>
    <col min="14" max="14" width="9.26953125" style="2" bestFit="1" customWidth="1"/>
    <col min="15" max="16384" width="8.7265625" style="2"/>
  </cols>
  <sheetData>
    <row r="1" spans="1:14">
      <c r="A1" s="779" t="s">
        <v>531</v>
      </c>
      <c r="B1" s="779"/>
      <c r="C1" s="779"/>
      <c r="D1" s="779"/>
      <c r="E1" s="779"/>
      <c r="F1" s="779"/>
      <c r="G1" s="779"/>
      <c r="H1" s="779"/>
      <c r="I1" s="779"/>
      <c r="J1" s="779"/>
      <c r="K1" s="779"/>
      <c r="L1" s="779"/>
      <c r="M1" s="779"/>
      <c r="N1" s="779"/>
    </row>
    <row r="2" spans="1:14">
      <c r="A2" s="780" t="s">
        <v>222</v>
      </c>
      <c r="B2" s="780"/>
      <c r="C2" s="780"/>
      <c r="D2" s="780"/>
      <c r="E2" s="780"/>
      <c r="F2" s="780"/>
      <c r="G2" s="780"/>
      <c r="H2" s="780"/>
      <c r="I2" s="780"/>
      <c r="J2" s="780"/>
      <c r="K2" s="780"/>
      <c r="L2" s="780"/>
      <c r="M2" s="780"/>
      <c r="N2" s="780"/>
    </row>
    <row r="3" spans="1:14">
      <c r="A3" s="780" t="str">
        <f>'Act Att-H'!C7</f>
        <v>Cheyenne Light, Fuel &amp; Power</v>
      </c>
      <c r="B3" s="780"/>
      <c r="C3" s="780"/>
      <c r="D3" s="780"/>
      <c r="E3" s="780"/>
      <c r="F3" s="780"/>
      <c r="G3" s="780"/>
      <c r="H3" s="780"/>
      <c r="I3" s="780"/>
      <c r="J3" s="780"/>
      <c r="K3" s="780"/>
      <c r="L3" s="780"/>
      <c r="M3" s="780"/>
      <c r="N3" s="780"/>
    </row>
    <row r="4" spans="1:14">
      <c r="B4" s="444"/>
      <c r="C4" s="444"/>
      <c r="D4" s="444"/>
      <c r="E4" s="444"/>
      <c r="F4" s="444"/>
      <c r="G4" s="444"/>
      <c r="H4" s="444"/>
      <c r="I4" s="444"/>
      <c r="J4" s="444"/>
      <c r="K4" s="444"/>
      <c r="M4" s="2" t="s">
        <v>673</v>
      </c>
    </row>
    <row r="5" spans="1:14">
      <c r="A5" s="126" t="s">
        <v>154</v>
      </c>
      <c r="B5" s="129" t="s">
        <v>475</v>
      </c>
      <c r="C5" s="71"/>
      <c r="D5" s="103"/>
      <c r="E5" s="71"/>
      <c r="F5" s="71"/>
      <c r="G5" s="450"/>
      <c r="H5" s="71"/>
      <c r="I5" s="152"/>
      <c r="J5" s="103"/>
      <c r="K5" s="451"/>
    </row>
    <row r="6" spans="1:14">
      <c r="B6" s="452"/>
      <c r="C6" s="103"/>
      <c r="D6" s="453"/>
      <c r="E6" s="103"/>
      <c r="F6" s="103"/>
      <c r="G6" s="103"/>
      <c r="H6" s="103"/>
      <c r="I6" s="103"/>
      <c r="J6" s="103"/>
    </row>
    <row r="7" spans="1:14">
      <c r="A7" s="5">
        <v>1</v>
      </c>
      <c r="B7" s="454" t="s">
        <v>221</v>
      </c>
      <c r="C7" s="454" t="s">
        <v>191</v>
      </c>
      <c r="D7" s="455"/>
      <c r="E7" s="454" t="s">
        <v>9</v>
      </c>
      <c r="F7" s="454" t="s">
        <v>216</v>
      </c>
      <c r="G7" s="454" t="s">
        <v>240</v>
      </c>
      <c r="H7" s="782" t="s">
        <v>10</v>
      </c>
      <c r="I7" s="782"/>
      <c r="J7" s="454" t="s">
        <v>9</v>
      </c>
    </row>
    <row r="8" spans="1:14">
      <c r="A8" s="5">
        <f>A7+1</f>
        <v>2</v>
      </c>
      <c r="E8" s="27" t="s">
        <v>157</v>
      </c>
      <c r="F8" s="457" t="s">
        <v>158</v>
      </c>
      <c r="G8" s="457" t="s">
        <v>159</v>
      </c>
      <c r="H8" s="781" t="s">
        <v>160</v>
      </c>
      <c r="I8" s="781"/>
      <c r="J8" s="457" t="s">
        <v>705</v>
      </c>
    </row>
    <row r="9" spans="1:14">
      <c r="A9" s="5">
        <f t="shared" ref="A9:A57" si="0">A8+1</f>
        <v>3</v>
      </c>
      <c r="B9" s="458" t="s">
        <v>217</v>
      </c>
      <c r="C9" s="459"/>
      <c r="F9" s="459"/>
      <c r="G9" s="459"/>
      <c r="H9" s="103"/>
    </row>
    <row r="10" spans="1:14">
      <c r="A10" s="5">
        <f t="shared" si="0"/>
        <v>4</v>
      </c>
      <c r="B10" s="460">
        <v>45400</v>
      </c>
      <c r="C10" s="459" t="s">
        <v>218</v>
      </c>
      <c r="E10" s="212">
        <v>0</v>
      </c>
      <c r="F10" s="220">
        <v>0</v>
      </c>
      <c r="G10" s="220">
        <f>SUM(E10:F10)</f>
        <v>0</v>
      </c>
      <c r="H10" s="596" t="s">
        <v>11</v>
      </c>
      <c r="I10" s="162">
        <f>'Act Att-H'!I174</f>
        <v>0.94993800079121415</v>
      </c>
      <c r="J10" s="220">
        <f>G10*I10</f>
        <v>0</v>
      </c>
      <c r="K10" s="444"/>
    </row>
    <row r="11" spans="1:14">
      <c r="A11" s="5">
        <f t="shared" si="0"/>
        <v>5</v>
      </c>
      <c r="B11" s="460">
        <v>45400</v>
      </c>
      <c r="C11" s="459" t="s">
        <v>219</v>
      </c>
      <c r="E11" s="461">
        <v>1156745.6399999999</v>
      </c>
      <c r="F11" s="459">
        <v>0</v>
      </c>
      <c r="G11" s="459">
        <f>SUM(E11:F11)</f>
        <v>1156745.6399999999</v>
      </c>
      <c r="H11" s="27" t="s">
        <v>67</v>
      </c>
      <c r="I11" s="162">
        <f>'Act Att-H'!K195</f>
        <v>6.9716558849231183E-2</v>
      </c>
      <c r="J11" s="220">
        <f>G11*I11</f>
        <v>80644.325484651577</v>
      </c>
    </row>
    <row r="12" spans="1:14">
      <c r="A12" s="5">
        <f t="shared" si="0"/>
        <v>6</v>
      </c>
      <c r="B12" s="462" t="s">
        <v>220</v>
      </c>
      <c r="C12" s="462"/>
      <c r="D12" s="463"/>
      <c r="E12" s="435">
        <f>SUM(E10:E11)</f>
        <v>1156745.6399999999</v>
      </c>
      <c r="F12" s="435">
        <f>SUM(F10:F11)</f>
        <v>0</v>
      </c>
      <c r="G12" s="435">
        <f>SUM(G10:G11)</f>
        <v>1156745.6399999999</v>
      </c>
      <c r="H12" s="463"/>
      <c r="I12" s="597"/>
      <c r="J12" s="598">
        <f>SUM(J10:J11)</f>
        <v>80644.325484651577</v>
      </c>
    </row>
    <row r="13" spans="1:14">
      <c r="A13" s="5">
        <f t="shared" si="0"/>
        <v>7</v>
      </c>
      <c r="B13" s="464"/>
      <c r="C13" s="465"/>
      <c r="D13" s="465"/>
      <c r="E13" s="103"/>
      <c r="F13" s="103"/>
      <c r="G13" s="103"/>
      <c r="H13" s="456"/>
    </row>
    <row r="14" spans="1:14">
      <c r="A14" s="5">
        <f t="shared" si="0"/>
        <v>8</v>
      </c>
    </row>
    <row r="15" spans="1:14">
      <c r="A15" s="5">
        <f t="shared" si="0"/>
        <v>9</v>
      </c>
      <c r="B15" s="129" t="s">
        <v>805</v>
      </c>
      <c r="C15" s="71"/>
      <c r="D15" s="71"/>
      <c r="E15" s="71"/>
      <c r="F15" s="71"/>
      <c r="G15" s="71"/>
      <c r="H15" s="71"/>
      <c r="I15" s="152"/>
      <c r="J15" s="103"/>
      <c r="K15" s="451"/>
    </row>
    <row r="16" spans="1:14">
      <c r="A16" s="5">
        <f t="shared" si="0"/>
        <v>10</v>
      </c>
      <c r="F16" s="186"/>
      <c r="G16" s="186"/>
      <c r="H16" s="186" t="s">
        <v>234</v>
      </c>
      <c r="I16" s="186" t="s">
        <v>175</v>
      </c>
      <c r="K16" s="186"/>
      <c r="L16" s="186" t="s">
        <v>237</v>
      </c>
      <c r="M16" s="186"/>
      <c r="N16" s="186"/>
    </row>
    <row r="17" spans="1:14">
      <c r="A17" s="5">
        <f t="shared" si="0"/>
        <v>11</v>
      </c>
      <c r="B17" s="425"/>
      <c r="F17" s="186"/>
      <c r="G17" s="186"/>
      <c r="H17" s="186" t="s">
        <v>176</v>
      </c>
      <c r="I17" s="186" t="s">
        <v>177</v>
      </c>
      <c r="J17" s="186" t="s">
        <v>235</v>
      </c>
      <c r="K17" s="186" t="s">
        <v>237</v>
      </c>
      <c r="L17" s="186" t="s">
        <v>179</v>
      </c>
      <c r="M17" s="186" t="s">
        <v>239</v>
      </c>
      <c r="N17" s="186"/>
    </row>
    <row r="18" spans="1:14">
      <c r="A18" s="5">
        <f t="shared" si="0"/>
        <v>12</v>
      </c>
      <c r="F18" s="186" t="s">
        <v>232</v>
      </c>
      <c r="G18" s="186" t="s">
        <v>180</v>
      </c>
      <c r="H18" s="186" t="s">
        <v>181</v>
      </c>
      <c r="I18" s="186" t="s">
        <v>182</v>
      </c>
      <c r="J18" s="186" t="s">
        <v>178</v>
      </c>
      <c r="K18" s="186" t="s">
        <v>183</v>
      </c>
      <c r="L18" s="186" t="s">
        <v>184</v>
      </c>
      <c r="M18" s="186" t="s">
        <v>184</v>
      </c>
      <c r="N18" s="186"/>
    </row>
    <row r="19" spans="1:14">
      <c r="A19" s="5">
        <f t="shared" si="0"/>
        <v>13</v>
      </c>
      <c r="F19" s="186" t="s">
        <v>233</v>
      </c>
      <c r="G19" s="186" t="s">
        <v>231</v>
      </c>
      <c r="H19" s="186" t="s">
        <v>185</v>
      </c>
      <c r="I19" s="186" t="s">
        <v>186</v>
      </c>
      <c r="J19" s="186" t="s">
        <v>236</v>
      </c>
      <c r="K19" s="186" t="s">
        <v>238</v>
      </c>
      <c r="L19" s="186" t="s">
        <v>187</v>
      </c>
      <c r="M19" s="186" t="s">
        <v>187</v>
      </c>
      <c r="N19" s="186" t="s">
        <v>188</v>
      </c>
    </row>
    <row r="20" spans="1:14">
      <c r="A20" s="5">
        <f t="shared" si="0"/>
        <v>14</v>
      </c>
      <c r="B20" s="186"/>
      <c r="C20" s="186"/>
      <c r="D20" s="186" t="s">
        <v>189</v>
      </c>
      <c r="E20" s="186" t="s">
        <v>556</v>
      </c>
      <c r="F20" s="186" t="s">
        <v>223</v>
      </c>
      <c r="G20" s="186" t="s">
        <v>224</v>
      </c>
      <c r="H20" s="186" t="s">
        <v>225</v>
      </c>
      <c r="I20" s="186" t="s">
        <v>226</v>
      </c>
      <c r="J20" s="186" t="s">
        <v>227</v>
      </c>
      <c r="K20" s="186" t="s">
        <v>228</v>
      </c>
      <c r="L20" s="186" t="s">
        <v>229</v>
      </c>
      <c r="M20" s="186" t="s">
        <v>230</v>
      </c>
      <c r="N20" s="186" t="s">
        <v>4</v>
      </c>
    </row>
    <row r="21" spans="1:14">
      <c r="A21" s="5">
        <f t="shared" si="0"/>
        <v>15</v>
      </c>
      <c r="B21" s="454" t="s">
        <v>190</v>
      </c>
      <c r="C21" s="454" t="s">
        <v>191</v>
      </c>
      <c r="D21" s="466" t="s">
        <v>192</v>
      </c>
      <c r="E21" s="466" t="s">
        <v>557</v>
      </c>
      <c r="F21" s="454"/>
      <c r="G21" s="454"/>
      <c r="H21" s="454"/>
      <c r="I21" s="454"/>
      <c r="J21" s="454"/>
      <c r="K21" s="454"/>
      <c r="L21" s="454"/>
      <c r="M21" s="454"/>
      <c r="N21" s="454" t="s">
        <v>193</v>
      </c>
    </row>
    <row r="22" spans="1:14">
      <c r="A22" s="5">
        <f t="shared" si="0"/>
        <v>16</v>
      </c>
      <c r="E22" s="27" t="s">
        <v>157</v>
      </c>
      <c r="F22" s="27" t="s">
        <v>158</v>
      </c>
      <c r="G22" s="27" t="s">
        <v>159</v>
      </c>
      <c r="H22" s="27" t="s">
        <v>160</v>
      </c>
      <c r="I22" s="27" t="s">
        <v>161</v>
      </c>
      <c r="J22" s="27" t="s">
        <v>162</v>
      </c>
      <c r="K22" s="27" t="s">
        <v>163</v>
      </c>
      <c r="L22" s="27" t="s">
        <v>164</v>
      </c>
      <c r="M22" s="27" t="s">
        <v>194</v>
      </c>
      <c r="N22" s="27" t="s">
        <v>195</v>
      </c>
    </row>
    <row r="23" spans="1:14">
      <c r="A23" s="5">
        <f t="shared" si="0"/>
        <v>17</v>
      </c>
    </row>
    <row r="24" spans="1:14">
      <c r="A24" s="5">
        <f t="shared" si="0"/>
        <v>18</v>
      </c>
      <c r="B24" s="467" t="s">
        <v>196</v>
      </c>
      <c r="C24" s="467" t="s">
        <v>1232</v>
      </c>
      <c r="D24" s="468" t="s">
        <v>1237</v>
      </c>
      <c r="E24" s="469"/>
      <c r="F24" s="470"/>
      <c r="G24" s="471"/>
      <c r="H24" s="470"/>
      <c r="I24" s="470">
        <v>617785</v>
      </c>
      <c r="J24" s="470"/>
      <c r="K24" s="470"/>
      <c r="L24" s="470"/>
      <c r="M24" s="470"/>
      <c r="N24" s="470">
        <f>SUM(F24:M24)</f>
        <v>617785</v>
      </c>
    </row>
    <row r="25" spans="1:14">
      <c r="A25" s="5">
        <f t="shared" si="0"/>
        <v>19</v>
      </c>
      <c r="B25" s="467" t="s">
        <v>196</v>
      </c>
      <c r="C25" s="467" t="s">
        <v>1233</v>
      </c>
      <c r="D25" s="468" t="s">
        <v>1236</v>
      </c>
      <c r="E25" s="469"/>
      <c r="F25" s="470">
        <v>44</v>
      </c>
      <c r="G25" s="470"/>
      <c r="H25" s="470"/>
      <c r="I25" s="470">
        <v>10</v>
      </c>
      <c r="J25" s="470"/>
      <c r="K25" s="470"/>
      <c r="L25" s="470"/>
      <c r="M25" s="470"/>
      <c r="N25" s="470">
        <f>SUM(F25:M25)</f>
        <v>54</v>
      </c>
    </row>
    <row r="26" spans="1:14">
      <c r="A26" s="5">
        <f t="shared" si="0"/>
        <v>20</v>
      </c>
      <c r="B26" s="467"/>
      <c r="C26" s="467"/>
      <c r="D26" s="468"/>
      <c r="E26" s="469"/>
      <c r="F26" s="470"/>
      <c r="G26" s="471"/>
      <c r="H26" s="470"/>
      <c r="I26" s="470"/>
      <c r="J26" s="470"/>
      <c r="K26" s="470"/>
      <c r="L26" s="470"/>
      <c r="M26" s="470"/>
      <c r="N26" s="470"/>
    </row>
    <row r="27" spans="1:14">
      <c r="A27" s="5">
        <f t="shared" si="0"/>
        <v>21</v>
      </c>
      <c r="B27" s="467"/>
      <c r="C27" s="467"/>
      <c r="D27" s="468"/>
      <c r="E27" s="469"/>
      <c r="F27" s="470"/>
      <c r="G27" s="470"/>
      <c r="H27" s="470"/>
      <c r="I27" s="470"/>
      <c r="J27" s="470"/>
      <c r="K27" s="470"/>
      <c r="L27" s="470"/>
      <c r="M27" s="470"/>
      <c r="N27" s="470"/>
    </row>
    <row r="28" spans="1:14">
      <c r="A28" s="5">
        <f t="shared" si="0"/>
        <v>22</v>
      </c>
      <c r="B28" s="467"/>
      <c r="C28" s="467"/>
      <c r="D28" s="468"/>
      <c r="E28" s="469"/>
      <c r="F28" s="470"/>
      <c r="G28" s="470"/>
      <c r="H28" s="470"/>
      <c r="I28" s="470"/>
      <c r="J28" s="470"/>
      <c r="K28" s="470"/>
      <c r="L28" s="470"/>
      <c r="M28" s="470"/>
      <c r="N28" s="470"/>
    </row>
    <row r="29" spans="1:14">
      <c r="A29" s="5">
        <f t="shared" si="0"/>
        <v>23</v>
      </c>
      <c r="B29" s="467"/>
      <c r="C29" s="467"/>
      <c r="D29" s="467"/>
      <c r="E29" s="469"/>
      <c r="F29" s="470"/>
      <c r="G29" s="470"/>
      <c r="H29" s="470"/>
      <c r="I29" s="470"/>
      <c r="J29" s="470"/>
      <c r="K29" s="470"/>
      <c r="L29" s="470"/>
      <c r="M29" s="470"/>
      <c r="N29" s="470"/>
    </row>
    <row r="30" spans="1:14">
      <c r="A30" s="5">
        <f t="shared" si="0"/>
        <v>24</v>
      </c>
      <c r="B30" s="467"/>
      <c r="C30" s="467"/>
      <c r="D30" s="468"/>
      <c r="E30" s="469"/>
      <c r="F30" s="470"/>
      <c r="G30" s="470"/>
      <c r="H30" s="470"/>
      <c r="I30" s="470"/>
      <c r="J30" s="470"/>
      <c r="K30" s="470"/>
      <c r="L30" s="470"/>
      <c r="M30" s="470"/>
      <c r="N30" s="470"/>
    </row>
    <row r="31" spans="1:14">
      <c r="A31" s="5">
        <f t="shared" si="0"/>
        <v>25</v>
      </c>
      <c r="B31" s="467"/>
      <c r="C31" s="467"/>
      <c r="D31" s="468"/>
      <c r="E31" s="469"/>
      <c r="F31" s="470"/>
      <c r="G31" s="470"/>
      <c r="H31" s="470"/>
      <c r="I31" s="470"/>
      <c r="J31" s="470"/>
      <c r="K31" s="470"/>
      <c r="L31" s="470"/>
      <c r="M31" s="470"/>
      <c r="N31" s="470"/>
    </row>
    <row r="32" spans="1:14">
      <c r="A32" s="5">
        <f t="shared" si="0"/>
        <v>26</v>
      </c>
      <c r="B32" s="467"/>
      <c r="C32" s="467"/>
      <c r="D32" s="468"/>
      <c r="E32" s="469"/>
      <c r="F32" s="470"/>
      <c r="G32" s="470"/>
      <c r="H32" s="470"/>
      <c r="I32" s="470"/>
      <c r="J32" s="470"/>
      <c r="K32" s="470"/>
      <c r="L32" s="470"/>
      <c r="M32" s="470"/>
      <c r="N32" s="470"/>
    </row>
    <row r="33" spans="1:14">
      <c r="A33" s="5">
        <f t="shared" si="0"/>
        <v>27</v>
      </c>
      <c r="B33" s="467"/>
      <c r="C33" s="467"/>
      <c r="D33" s="468"/>
      <c r="E33" s="469"/>
      <c r="F33" s="470"/>
      <c r="G33" s="470"/>
      <c r="H33" s="470"/>
      <c r="I33" s="470"/>
      <c r="J33" s="470"/>
      <c r="K33" s="470"/>
      <c r="L33" s="470"/>
      <c r="M33" s="470"/>
      <c r="N33" s="470"/>
    </row>
    <row r="34" spans="1:14">
      <c r="A34" s="5">
        <f t="shared" si="0"/>
        <v>28</v>
      </c>
      <c r="B34" s="467"/>
      <c r="C34" s="467"/>
      <c r="D34" s="467"/>
      <c r="E34" s="469"/>
      <c r="F34" s="470"/>
      <c r="G34" s="470"/>
      <c r="H34" s="470"/>
      <c r="I34" s="470"/>
      <c r="J34" s="470"/>
      <c r="K34" s="470"/>
      <c r="L34" s="470"/>
      <c r="M34" s="470"/>
      <c r="N34" s="470"/>
    </row>
    <row r="35" spans="1:14">
      <c r="A35" s="5">
        <f t="shared" si="0"/>
        <v>29</v>
      </c>
      <c r="B35" s="467"/>
      <c r="C35" s="467"/>
      <c r="D35" s="467"/>
      <c r="E35" s="469"/>
      <c r="F35" s="470"/>
      <c r="G35" s="470"/>
      <c r="H35" s="470"/>
      <c r="I35" s="470"/>
      <c r="J35" s="470"/>
      <c r="K35" s="470"/>
      <c r="L35" s="470"/>
      <c r="M35" s="470"/>
      <c r="N35" s="470"/>
    </row>
    <row r="36" spans="1:14">
      <c r="A36" s="5">
        <f t="shared" si="0"/>
        <v>30</v>
      </c>
      <c r="B36" s="467"/>
      <c r="C36" s="467"/>
      <c r="D36" s="467"/>
      <c r="E36" s="467"/>
      <c r="F36" s="470"/>
      <c r="G36" s="470"/>
      <c r="H36" s="470"/>
      <c r="I36" s="470"/>
      <c r="J36" s="470"/>
      <c r="K36" s="470"/>
      <c r="L36" s="470"/>
      <c r="M36" s="470"/>
      <c r="N36" s="470"/>
    </row>
    <row r="37" spans="1:14">
      <c r="A37" s="5">
        <f t="shared" si="0"/>
        <v>31</v>
      </c>
      <c r="B37" s="467"/>
      <c r="C37" s="467"/>
      <c r="D37" s="467"/>
      <c r="E37" s="469"/>
      <c r="F37" s="470"/>
      <c r="G37" s="470"/>
      <c r="H37" s="470"/>
      <c r="I37" s="470"/>
      <c r="J37" s="470"/>
      <c r="K37" s="470"/>
      <c r="L37" s="470"/>
      <c r="M37" s="470"/>
      <c r="N37" s="470"/>
    </row>
    <row r="38" spans="1:14">
      <c r="A38" s="5">
        <f t="shared" si="0"/>
        <v>32</v>
      </c>
      <c r="B38" s="467"/>
      <c r="C38" s="467"/>
      <c r="D38" s="468"/>
      <c r="E38" s="469"/>
      <c r="F38" s="470"/>
      <c r="G38" s="470"/>
      <c r="H38" s="470"/>
      <c r="I38" s="470"/>
      <c r="J38" s="470"/>
      <c r="K38" s="470"/>
      <c r="L38" s="470"/>
      <c r="M38" s="470"/>
      <c r="N38" s="470"/>
    </row>
    <row r="39" spans="1:14">
      <c r="A39" s="5">
        <f t="shared" si="0"/>
        <v>33</v>
      </c>
      <c r="B39" s="467"/>
      <c r="C39" s="467"/>
      <c r="D39" s="468"/>
      <c r="E39" s="469"/>
      <c r="F39" s="470"/>
      <c r="G39" s="470"/>
      <c r="H39" s="470"/>
      <c r="I39" s="470"/>
      <c r="J39" s="470"/>
      <c r="K39" s="470"/>
      <c r="L39" s="470"/>
      <c r="M39" s="470"/>
      <c r="N39" s="470"/>
    </row>
    <row r="40" spans="1:14">
      <c r="A40" s="5">
        <f t="shared" si="0"/>
        <v>34</v>
      </c>
      <c r="B40" s="467"/>
      <c r="C40" s="467"/>
      <c r="D40" s="468"/>
      <c r="E40" s="469"/>
      <c r="F40" s="470"/>
      <c r="G40" s="470"/>
      <c r="H40" s="470"/>
      <c r="I40" s="470"/>
      <c r="J40" s="470"/>
      <c r="K40" s="470"/>
      <c r="L40" s="470"/>
      <c r="M40" s="470"/>
      <c r="N40" s="470"/>
    </row>
    <row r="41" spans="1:14">
      <c r="A41" s="5">
        <f t="shared" si="0"/>
        <v>35</v>
      </c>
      <c r="B41" s="467"/>
      <c r="C41" s="467"/>
      <c r="D41" s="468"/>
      <c r="E41" s="469"/>
      <c r="F41" s="470"/>
      <c r="G41" s="470"/>
      <c r="H41" s="470"/>
      <c r="I41" s="470"/>
      <c r="J41" s="470"/>
      <c r="K41" s="470"/>
      <c r="L41" s="470"/>
      <c r="M41" s="470"/>
      <c r="N41" s="470"/>
    </row>
    <row r="42" spans="1:14">
      <c r="A42" s="5">
        <f t="shared" si="0"/>
        <v>36</v>
      </c>
      <c r="B42" s="467"/>
      <c r="C42" s="467"/>
      <c r="D42" s="467"/>
      <c r="E42" s="469"/>
      <c r="F42" s="470"/>
      <c r="G42" s="470"/>
      <c r="H42" s="470"/>
      <c r="I42" s="470"/>
      <c r="J42" s="470"/>
      <c r="K42" s="470"/>
      <c r="L42" s="470"/>
      <c r="M42" s="470"/>
      <c r="N42" s="470"/>
    </row>
    <row r="43" spans="1:14">
      <c r="A43" s="5">
        <f t="shared" si="0"/>
        <v>37</v>
      </c>
      <c r="B43" s="467"/>
      <c r="C43" s="467"/>
      <c r="D43" s="467"/>
      <c r="E43" s="469"/>
      <c r="F43" s="470"/>
      <c r="G43" s="470"/>
      <c r="H43" s="470"/>
      <c r="I43" s="470"/>
      <c r="J43" s="470"/>
      <c r="K43" s="470"/>
      <c r="L43" s="470"/>
      <c r="M43" s="470"/>
      <c r="N43" s="470"/>
    </row>
    <row r="44" spans="1:14">
      <c r="A44" s="5">
        <f t="shared" si="0"/>
        <v>38</v>
      </c>
      <c r="B44" s="472"/>
      <c r="C44" s="472"/>
      <c r="D44" s="472"/>
      <c r="E44" s="472"/>
      <c r="F44" s="473"/>
      <c r="G44" s="473"/>
      <c r="H44" s="473"/>
      <c r="I44" s="473"/>
      <c r="J44" s="473"/>
      <c r="K44" s="473"/>
      <c r="L44" s="473"/>
      <c r="M44" s="473"/>
      <c r="N44" s="473"/>
    </row>
    <row r="45" spans="1:14">
      <c r="A45" s="5">
        <f t="shared" si="0"/>
        <v>39</v>
      </c>
      <c r="B45" s="463"/>
      <c r="C45" s="463" t="s">
        <v>9</v>
      </c>
      <c r="D45" s="463"/>
      <c r="E45" s="474"/>
      <c r="F45" s="474">
        <f t="shared" ref="F45:N45" si="1">SUM(F24:F44)</f>
        <v>44</v>
      </c>
      <c r="G45" s="474">
        <f t="shared" si="1"/>
        <v>0</v>
      </c>
      <c r="H45" s="474">
        <f t="shared" si="1"/>
        <v>0</v>
      </c>
      <c r="I45" s="474">
        <f t="shared" si="1"/>
        <v>617795</v>
      </c>
      <c r="J45" s="474">
        <f t="shared" si="1"/>
        <v>0</v>
      </c>
      <c r="K45" s="474">
        <f t="shared" si="1"/>
        <v>0</v>
      </c>
      <c r="L45" s="474">
        <f t="shared" si="1"/>
        <v>0</v>
      </c>
      <c r="M45" s="474">
        <f t="shared" si="1"/>
        <v>0</v>
      </c>
      <c r="N45" s="474">
        <f t="shared" si="1"/>
        <v>617839</v>
      </c>
    </row>
    <row r="46" spans="1:14">
      <c r="A46" s="5">
        <f t="shared" si="0"/>
        <v>40</v>
      </c>
      <c r="E46" s="213"/>
      <c r="F46" s="475"/>
      <c r="G46" s="475"/>
      <c r="H46" s="475"/>
      <c r="I46" s="475"/>
      <c r="J46" s="475"/>
      <c r="K46" s="475"/>
      <c r="L46" s="475"/>
      <c r="M46" s="475"/>
      <c r="N46" s="475"/>
    </row>
    <row r="47" spans="1:14">
      <c r="A47" s="5">
        <f t="shared" si="0"/>
        <v>41</v>
      </c>
      <c r="B47" s="476" t="s">
        <v>199</v>
      </c>
      <c r="E47" s="477"/>
      <c r="F47" s="475"/>
      <c r="G47" s="475"/>
      <c r="H47" s="475"/>
      <c r="I47" s="475"/>
      <c r="J47" s="475"/>
      <c r="K47" s="475"/>
      <c r="L47" s="475"/>
      <c r="M47" s="475"/>
      <c r="N47" s="475"/>
    </row>
    <row r="48" spans="1:14" s="425" customFormat="1" ht="15" customHeight="1">
      <c r="A48" s="5">
        <f t="shared" si="0"/>
        <v>42</v>
      </c>
      <c r="B48" s="2" t="s">
        <v>196</v>
      </c>
      <c r="C48" s="2"/>
      <c r="D48" s="2"/>
      <c r="E48" s="2"/>
      <c r="F48" s="475">
        <f t="shared" ref="F48:N51" si="2">SUMIF($B$24:$B$44,$B48,F$24:F$44)</f>
        <v>44</v>
      </c>
      <c r="G48" s="475">
        <f t="shared" si="2"/>
        <v>0</v>
      </c>
      <c r="H48" s="475">
        <f t="shared" si="2"/>
        <v>0</v>
      </c>
      <c r="I48" s="475">
        <f t="shared" si="2"/>
        <v>617795</v>
      </c>
      <c r="J48" s="475">
        <f t="shared" si="2"/>
        <v>0</v>
      </c>
      <c r="K48" s="475">
        <f t="shared" si="2"/>
        <v>0</v>
      </c>
      <c r="L48" s="475">
        <f t="shared" si="2"/>
        <v>0</v>
      </c>
      <c r="M48" s="475">
        <f t="shared" si="2"/>
        <v>0</v>
      </c>
      <c r="N48" s="475">
        <f t="shared" si="2"/>
        <v>617839</v>
      </c>
    </row>
    <row r="49" spans="1:14">
      <c r="A49" s="5">
        <f t="shared" si="0"/>
        <v>43</v>
      </c>
      <c r="B49" s="2" t="s">
        <v>197</v>
      </c>
      <c r="F49" s="475">
        <f t="shared" si="2"/>
        <v>0</v>
      </c>
      <c r="G49" s="475">
        <f t="shared" si="2"/>
        <v>0</v>
      </c>
      <c r="H49" s="475">
        <f t="shared" si="2"/>
        <v>0</v>
      </c>
      <c r="I49" s="475">
        <f t="shared" si="2"/>
        <v>0</v>
      </c>
      <c r="J49" s="475">
        <f t="shared" si="2"/>
        <v>0</v>
      </c>
      <c r="K49" s="475">
        <f t="shared" si="2"/>
        <v>0</v>
      </c>
      <c r="L49" s="475">
        <f t="shared" si="2"/>
        <v>0</v>
      </c>
      <c r="M49" s="475">
        <f t="shared" si="2"/>
        <v>0</v>
      </c>
      <c r="N49" s="475">
        <f t="shared" si="2"/>
        <v>0</v>
      </c>
    </row>
    <row r="50" spans="1:14">
      <c r="A50" s="5">
        <f t="shared" si="0"/>
        <v>44</v>
      </c>
      <c r="B50" s="2" t="s">
        <v>198</v>
      </c>
      <c r="F50" s="475">
        <f t="shared" si="2"/>
        <v>0</v>
      </c>
      <c r="G50" s="475">
        <f t="shared" si="2"/>
        <v>0</v>
      </c>
      <c r="H50" s="475">
        <f t="shared" si="2"/>
        <v>0</v>
      </c>
      <c r="I50" s="475">
        <f t="shared" si="2"/>
        <v>0</v>
      </c>
      <c r="J50" s="475">
        <f t="shared" si="2"/>
        <v>0</v>
      </c>
      <c r="K50" s="475">
        <f t="shared" si="2"/>
        <v>0</v>
      </c>
      <c r="L50" s="475">
        <f t="shared" si="2"/>
        <v>0</v>
      </c>
      <c r="M50" s="475">
        <f t="shared" si="2"/>
        <v>0</v>
      </c>
      <c r="N50" s="475">
        <f t="shared" si="2"/>
        <v>0</v>
      </c>
    </row>
    <row r="51" spans="1:14">
      <c r="A51" s="5">
        <f t="shared" si="0"/>
        <v>45</v>
      </c>
      <c r="B51" s="2" t="s">
        <v>200</v>
      </c>
      <c r="F51" s="475">
        <f t="shared" si="2"/>
        <v>0</v>
      </c>
      <c r="G51" s="475">
        <f t="shared" si="2"/>
        <v>0</v>
      </c>
      <c r="H51" s="475">
        <f t="shared" si="2"/>
        <v>0</v>
      </c>
      <c r="I51" s="475">
        <f t="shared" si="2"/>
        <v>0</v>
      </c>
      <c r="J51" s="475">
        <f t="shared" si="2"/>
        <v>0</v>
      </c>
      <c r="K51" s="475">
        <f t="shared" si="2"/>
        <v>0</v>
      </c>
      <c r="L51" s="475">
        <f t="shared" si="2"/>
        <v>0</v>
      </c>
      <c r="M51" s="475">
        <f t="shared" si="2"/>
        <v>0</v>
      </c>
      <c r="N51" s="475">
        <f t="shared" si="2"/>
        <v>0</v>
      </c>
    </row>
    <row r="52" spans="1:14">
      <c r="A52" s="5">
        <f t="shared" si="0"/>
        <v>46</v>
      </c>
      <c r="B52" s="463" t="s">
        <v>9</v>
      </c>
      <c r="C52" s="463"/>
      <c r="D52" s="463"/>
      <c r="E52" s="463"/>
      <c r="F52" s="474">
        <f t="shared" ref="F52" si="3">SUM(F48:F51)</f>
        <v>44</v>
      </c>
      <c r="G52" s="474">
        <f t="shared" ref="G52:M52" si="4">SUM(G48:G51)</f>
        <v>0</v>
      </c>
      <c r="H52" s="474">
        <f t="shared" si="4"/>
        <v>0</v>
      </c>
      <c r="I52" s="474">
        <f t="shared" si="4"/>
        <v>617795</v>
      </c>
      <c r="J52" s="474">
        <f t="shared" si="4"/>
        <v>0</v>
      </c>
      <c r="K52" s="474">
        <f t="shared" si="4"/>
        <v>0</v>
      </c>
      <c r="L52" s="474">
        <f t="shared" si="4"/>
        <v>0</v>
      </c>
      <c r="M52" s="474">
        <f t="shared" si="4"/>
        <v>0</v>
      </c>
      <c r="N52" s="474">
        <f>SUM(N48:N51)</f>
        <v>617839</v>
      </c>
    </row>
    <row r="53" spans="1:14">
      <c r="A53" s="5">
        <f t="shared" si="0"/>
        <v>47</v>
      </c>
      <c r="F53" s="475"/>
      <c r="G53" s="475"/>
      <c r="H53" s="475"/>
      <c r="I53" s="475"/>
      <c r="J53" s="475"/>
      <c r="K53" s="475"/>
      <c r="L53" s="475"/>
      <c r="M53" s="475"/>
      <c r="N53" s="475"/>
    </row>
    <row r="54" spans="1:14">
      <c r="A54" s="5">
        <f t="shared" si="0"/>
        <v>48</v>
      </c>
      <c r="B54" s="478" t="s">
        <v>555</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79" t="s">
        <v>174</v>
      </c>
    </row>
    <row r="60" spans="1:14" ht="12.75" customHeight="1">
      <c r="A60" s="27" t="s">
        <v>79</v>
      </c>
      <c r="B60" s="760" t="s">
        <v>90</v>
      </c>
      <c r="C60" s="760"/>
      <c r="D60" s="760"/>
      <c r="E60" s="760"/>
      <c r="F60" s="760"/>
      <c r="G60" s="760"/>
      <c r="H60" s="760"/>
      <c r="I60" s="760"/>
      <c r="J60" s="760"/>
      <c r="K60" s="760"/>
      <c r="L60" s="760"/>
      <c r="M60" s="760"/>
    </row>
    <row r="61" spans="1:14">
      <c r="A61" s="27"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D49"/>
  <sheetViews>
    <sheetView workbookViewId="0">
      <selection activeCell="A38" sqref="A38"/>
    </sheetView>
  </sheetViews>
  <sheetFormatPr defaultColWidth="7.08984375" defaultRowHeight="13.2"/>
  <cols>
    <col min="1" max="1" width="5.54296875" style="204" customWidth="1"/>
    <col min="2" max="2" width="35.54296875" style="204" customWidth="1"/>
    <col min="3" max="3" width="24.26953125" style="204" customWidth="1"/>
    <col min="4" max="4" width="11.08984375" style="215" customWidth="1"/>
    <col min="5" max="16384" width="7.08984375" style="204"/>
  </cols>
  <sheetData>
    <row r="1" spans="1:4" ht="14.25" customHeight="1">
      <c r="A1" s="784" t="s">
        <v>532</v>
      </c>
      <c r="B1" s="784"/>
      <c r="C1" s="784"/>
      <c r="D1" s="784"/>
    </row>
    <row r="2" spans="1:4">
      <c r="A2" s="784" t="s">
        <v>206</v>
      </c>
      <c r="B2" s="784"/>
      <c r="C2" s="784"/>
      <c r="D2" s="784"/>
    </row>
    <row r="3" spans="1:4">
      <c r="A3" s="785" t="str">
        <f>'Act Att-H'!C7</f>
        <v>Cheyenne Light, Fuel &amp; Power</v>
      </c>
      <c r="B3" s="784"/>
      <c r="C3" s="784"/>
      <c r="D3" s="784"/>
    </row>
    <row r="4" spans="1:4">
      <c r="D4" s="205" t="s">
        <v>673</v>
      </c>
    </row>
    <row r="5" spans="1:4">
      <c r="D5" s="204"/>
    </row>
    <row r="6" spans="1:4">
      <c r="A6" s="206" t="s">
        <v>4</v>
      </c>
      <c r="C6" s="207" t="s">
        <v>20</v>
      </c>
      <c r="D6" s="208"/>
    </row>
    <row r="7" spans="1:4">
      <c r="A7" s="209" t="s">
        <v>6</v>
      </c>
      <c r="B7" s="209" t="s">
        <v>478</v>
      </c>
      <c r="C7" s="210" t="s">
        <v>22</v>
      </c>
      <c r="D7" s="211" t="s">
        <v>23</v>
      </c>
    </row>
    <row r="8" spans="1:4" ht="13.35" customHeight="1">
      <c r="A8" s="206">
        <v>1</v>
      </c>
      <c r="B8" s="204" t="s">
        <v>207</v>
      </c>
      <c r="C8" s="204" t="s">
        <v>208</v>
      </c>
      <c r="D8" s="212">
        <v>51455.44</v>
      </c>
    </row>
    <row r="9" spans="1:4" ht="13.35" customHeight="1">
      <c r="A9" s="206">
        <v>2</v>
      </c>
      <c r="B9" s="204" t="s">
        <v>209</v>
      </c>
      <c r="C9" s="204" t="s">
        <v>210</v>
      </c>
      <c r="D9" s="212">
        <v>695657</v>
      </c>
    </row>
    <row r="10" spans="1:4" ht="13.35" customHeight="1">
      <c r="A10" s="206">
        <v>3</v>
      </c>
      <c r="B10" s="204" t="s">
        <v>211</v>
      </c>
      <c r="C10" s="204" t="s">
        <v>212</v>
      </c>
      <c r="D10" s="212">
        <v>165378</v>
      </c>
    </row>
    <row r="11" spans="1:4" ht="13.35" customHeight="1">
      <c r="A11" s="206">
        <v>4</v>
      </c>
      <c r="B11" s="204" t="s">
        <v>1113</v>
      </c>
      <c r="C11" s="204" t="s">
        <v>476</v>
      </c>
      <c r="D11" s="212">
        <v>0</v>
      </c>
    </row>
    <row r="12" spans="1:4" ht="13.35" customHeight="1">
      <c r="A12" s="206" t="s">
        <v>1078</v>
      </c>
      <c r="B12" s="204" t="s">
        <v>1094</v>
      </c>
      <c r="C12" s="204" t="s">
        <v>918</v>
      </c>
      <c r="D12" s="212">
        <v>0</v>
      </c>
    </row>
    <row r="13" spans="1:4" ht="13.35" customHeight="1">
      <c r="A13" s="206" t="s">
        <v>1079</v>
      </c>
      <c r="B13" s="204" t="s">
        <v>1095</v>
      </c>
      <c r="C13" s="204" t="s">
        <v>918</v>
      </c>
      <c r="D13" s="212">
        <v>0</v>
      </c>
    </row>
    <row r="14" spans="1:4" ht="13.35" customHeight="1" thickBot="1">
      <c r="A14" s="206">
        <v>5</v>
      </c>
      <c r="B14" s="204" t="s">
        <v>263</v>
      </c>
      <c r="C14" s="204" t="s">
        <v>1112</v>
      </c>
      <c r="D14" s="214">
        <f>SUM(D8:D10,D12:D13)-D11</f>
        <v>912490.44</v>
      </c>
    </row>
    <row r="15" spans="1:4" ht="13.35" customHeight="1" thickTop="1">
      <c r="A15" s="206">
        <v>6</v>
      </c>
    </row>
    <row r="16" spans="1:4" ht="13.35" customHeight="1">
      <c r="A16" s="206">
        <v>7</v>
      </c>
    </row>
    <row r="17" spans="1:4" ht="13.35" customHeight="1">
      <c r="A17" s="206">
        <v>8</v>
      </c>
      <c r="B17" s="216" t="s">
        <v>213</v>
      </c>
      <c r="D17" s="217"/>
    </row>
    <row r="18" spans="1:4" ht="13.2" customHeight="1">
      <c r="A18" s="206">
        <v>9</v>
      </c>
      <c r="D18" s="217"/>
    </row>
    <row r="19" spans="1:4" ht="13.35" customHeight="1">
      <c r="A19" s="206">
        <v>10</v>
      </c>
      <c r="B19" s="204" t="s">
        <v>824</v>
      </c>
      <c r="C19" s="204" t="s">
        <v>825</v>
      </c>
      <c r="D19" s="212">
        <v>0</v>
      </c>
    </row>
    <row r="20" spans="1:4" ht="13.35" customHeight="1">
      <c r="A20" s="206">
        <v>11</v>
      </c>
      <c r="B20" s="204" t="s">
        <v>917</v>
      </c>
      <c r="C20" s="204" t="s">
        <v>1225</v>
      </c>
      <c r="D20" s="212">
        <v>0</v>
      </c>
    </row>
    <row r="21" spans="1:4" ht="13.35" customHeight="1">
      <c r="A21" s="206">
        <v>12</v>
      </c>
      <c r="D21" s="213"/>
    </row>
    <row r="22" spans="1:4" ht="13.35" customHeight="1">
      <c r="A22" s="206">
        <v>13</v>
      </c>
      <c r="D22" s="218"/>
    </row>
    <row r="23" spans="1:4" ht="13.35" customHeight="1">
      <c r="A23" s="206">
        <v>14</v>
      </c>
      <c r="B23" s="204" t="s">
        <v>9</v>
      </c>
      <c r="C23" s="216"/>
      <c r="D23" s="219">
        <f>SUM(D19:D22)</f>
        <v>0</v>
      </c>
    </row>
    <row r="24" spans="1:4" ht="13.35" customHeight="1">
      <c r="A24" s="206">
        <v>15</v>
      </c>
      <c r="D24" s="213"/>
    </row>
    <row r="25" spans="1:4" ht="13.35" customHeight="1" thickBot="1">
      <c r="A25" s="206">
        <v>16</v>
      </c>
      <c r="B25" s="204" t="s">
        <v>264</v>
      </c>
      <c r="D25" s="214">
        <f>+D23</f>
        <v>0</v>
      </c>
    </row>
    <row r="26" spans="1:4" ht="13.35" customHeight="1" thickTop="1">
      <c r="A26" s="206">
        <v>17</v>
      </c>
      <c r="D26" s="220"/>
    </row>
    <row r="27" spans="1:4" ht="13.35" customHeight="1">
      <c r="A27" s="206">
        <v>18</v>
      </c>
      <c r="D27" s="220"/>
    </row>
    <row r="28" spans="1:4" ht="13.35" customHeight="1">
      <c r="A28" s="206">
        <v>19</v>
      </c>
      <c r="B28" s="216" t="s">
        <v>1114</v>
      </c>
      <c r="D28" s="220"/>
    </row>
    <row r="29" spans="1:4" ht="13.2" customHeight="1">
      <c r="A29" s="206">
        <v>20</v>
      </c>
      <c r="B29" s="204" t="s">
        <v>214</v>
      </c>
      <c r="C29" s="204" t="s">
        <v>477</v>
      </c>
      <c r="D29" s="212"/>
    </row>
    <row r="30" spans="1:4" ht="13.35" customHeight="1">
      <c r="A30" s="206">
        <v>21</v>
      </c>
      <c r="B30" s="204" t="s">
        <v>215</v>
      </c>
      <c r="C30" s="204" t="s">
        <v>477</v>
      </c>
      <c r="D30" s="212">
        <v>452052.88319999998</v>
      </c>
    </row>
    <row r="31" spans="1:4" ht="13.35" customHeight="1" thickBot="1">
      <c r="A31" s="206">
        <v>22</v>
      </c>
      <c r="B31" s="204" t="s">
        <v>1114</v>
      </c>
      <c r="C31" s="204" t="s">
        <v>1030</v>
      </c>
      <c r="D31" s="214">
        <f>SUM(D29:D30)</f>
        <v>452052.88319999998</v>
      </c>
    </row>
    <row r="32" spans="1:4" ht="13.35" customHeight="1" thickTop="1">
      <c r="A32" s="206"/>
      <c r="D32" s="220"/>
    </row>
    <row r="33" spans="1:4" ht="13.35" customHeight="1">
      <c r="A33" s="381" t="s">
        <v>174</v>
      </c>
      <c r="B33" s="221"/>
      <c r="D33" s="220"/>
    </row>
    <row r="34" spans="1:4" ht="25.5" customHeight="1">
      <c r="A34" s="421" t="s">
        <v>79</v>
      </c>
      <c r="B34" s="783" t="s">
        <v>675</v>
      </c>
      <c r="C34" s="783"/>
      <c r="D34" s="783"/>
    </row>
    <row r="35" spans="1:4" ht="33" customHeight="1">
      <c r="A35" s="421" t="s">
        <v>80</v>
      </c>
      <c r="B35" s="783" t="s">
        <v>932</v>
      </c>
      <c r="C35" s="783"/>
      <c r="D35" s="783"/>
    </row>
    <row r="36" spans="1:4" ht="17.25" customHeight="1">
      <c r="A36" s="421" t="s">
        <v>81</v>
      </c>
      <c r="B36" s="783" t="s">
        <v>823</v>
      </c>
      <c r="C36" s="783"/>
      <c r="D36" s="783"/>
    </row>
    <row r="37" spans="1:4" ht="25.5" customHeight="1">
      <c r="A37" s="421" t="s">
        <v>82</v>
      </c>
      <c r="B37" s="783" t="s">
        <v>1115</v>
      </c>
      <c r="C37" s="783"/>
      <c r="D37" s="783"/>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J91"/>
  <sheetViews>
    <sheetView zoomScaleNormal="100" workbookViewId="0">
      <selection activeCell="A44" sqref="A44"/>
    </sheetView>
  </sheetViews>
  <sheetFormatPr defaultRowHeight="13.2"/>
  <cols>
    <col min="1" max="1" width="6.08984375" style="2" customWidth="1"/>
    <col min="2" max="2" width="36.453125" style="2" bestFit="1" customWidth="1"/>
    <col min="3" max="3" width="12.08984375" style="2" bestFit="1" customWidth="1"/>
    <col min="4" max="4" width="12.26953125" style="2" bestFit="1" customWidth="1"/>
    <col min="5" max="5" width="12.08984375" style="2" bestFit="1" customWidth="1"/>
    <col min="6" max="6" width="15.54296875" style="2" bestFit="1" customWidth="1"/>
    <col min="7" max="7" width="6.7265625" style="2" customWidth="1"/>
    <col min="8" max="8" width="7.08984375" style="2" customWidth="1"/>
    <col min="9" max="9" width="8.7265625" style="2"/>
    <col min="10" max="10" width="22" style="2" bestFit="1" customWidth="1"/>
    <col min="11" max="248" width="8.7265625" style="2"/>
    <col min="249" max="249" width="6.08984375" style="2" customWidth="1"/>
    <col min="250" max="252" width="11.7265625" style="2" customWidth="1"/>
    <col min="253" max="254" width="9.7265625" style="2" customWidth="1"/>
    <col min="255" max="255" width="15.08984375" style="2" bestFit="1" customWidth="1"/>
    <col min="256" max="504" width="8.7265625" style="2"/>
    <col min="505" max="505" width="6.08984375" style="2" customWidth="1"/>
    <col min="506" max="508" width="11.7265625" style="2" customWidth="1"/>
    <col min="509" max="510" width="9.7265625" style="2" customWidth="1"/>
    <col min="511" max="511" width="15.08984375" style="2" bestFit="1" customWidth="1"/>
    <col min="512" max="760" width="8.7265625" style="2"/>
    <col min="761" max="761" width="6.08984375" style="2" customWidth="1"/>
    <col min="762" max="764" width="11.7265625" style="2" customWidth="1"/>
    <col min="765" max="766" width="9.7265625" style="2" customWidth="1"/>
    <col min="767" max="767" width="15.08984375" style="2" bestFit="1" customWidth="1"/>
    <col min="768" max="1016" width="8.7265625" style="2"/>
    <col min="1017" max="1017" width="6.08984375" style="2" customWidth="1"/>
    <col min="1018" max="1020" width="11.7265625" style="2" customWidth="1"/>
    <col min="1021" max="1022" width="9.7265625" style="2" customWidth="1"/>
    <col min="1023" max="1023" width="15.08984375" style="2" bestFit="1" customWidth="1"/>
    <col min="1024" max="1272" width="8.7265625" style="2"/>
    <col min="1273" max="1273" width="6.08984375" style="2" customWidth="1"/>
    <col min="1274" max="1276" width="11.7265625" style="2" customWidth="1"/>
    <col min="1277" max="1278" width="9.7265625" style="2" customWidth="1"/>
    <col min="1279" max="1279" width="15.08984375" style="2" bestFit="1" customWidth="1"/>
    <col min="1280" max="1528" width="8.7265625" style="2"/>
    <col min="1529" max="1529" width="6.08984375" style="2" customWidth="1"/>
    <col min="1530" max="1532" width="11.7265625" style="2" customWidth="1"/>
    <col min="1533" max="1534" width="9.7265625" style="2" customWidth="1"/>
    <col min="1535" max="1535" width="15.08984375" style="2" bestFit="1" customWidth="1"/>
    <col min="1536" max="1784" width="8.7265625" style="2"/>
    <col min="1785" max="1785" width="6.08984375" style="2" customWidth="1"/>
    <col min="1786" max="1788" width="11.7265625" style="2" customWidth="1"/>
    <col min="1789" max="1790" width="9.7265625" style="2" customWidth="1"/>
    <col min="1791" max="1791" width="15.08984375" style="2" bestFit="1" customWidth="1"/>
    <col min="1792" max="2040" width="8.7265625" style="2"/>
    <col min="2041" max="2041" width="6.08984375" style="2" customWidth="1"/>
    <col min="2042" max="2044" width="11.7265625" style="2" customWidth="1"/>
    <col min="2045" max="2046" width="9.7265625" style="2" customWidth="1"/>
    <col min="2047" max="2047" width="15.08984375" style="2" bestFit="1" customWidth="1"/>
    <col min="2048" max="2296" width="8.7265625" style="2"/>
    <col min="2297" max="2297" width="6.08984375" style="2" customWidth="1"/>
    <col min="2298" max="2300" width="11.7265625" style="2" customWidth="1"/>
    <col min="2301" max="2302" width="9.7265625" style="2" customWidth="1"/>
    <col min="2303" max="2303" width="15.08984375" style="2" bestFit="1" customWidth="1"/>
    <col min="2304" max="2552" width="8.7265625" style="2"/>
    <col min="2553" max="2553" width="6.08984375" style="2" customWidth="1"/>
    <col min="2554" max="2556" width="11.7265625" style="2" customWidth="1"/>
    <col min="2557" max="2558" width="9.7265625" style="2" customWidth="1"/>
    <col min="2559" max="2559" width="15.08984375" style="2" bestFit="1" customWidth="1"/>
    <col min="2560" max="2808" width="8.7265625" style="2"/>
    <col min="2809" max="2809" width="6.08984375" style="2" customWidth="1"/>
    <col min="2810" max="2812" width="11.7265625" style="2" customWidth="1"/>
    <col min="2813" max="2814" width="9.7265625" style="2" customWidth="1"/>
    <col min="2815" max="2815" width="15.08984375" style="2" bestFit="1" customWidth="1"/>
    <col min="2816" max="3064" width="8.7265625" style="2"/>
    <col min="3065" max="3065" width="6.08984375" style="2" customWidth="1"/>
    <col min="3066" max="3068" width="11.7265625" style="2" customWidth="1"/>
    <col min="3069" max="3070" width="9.7265625" style="2" customWidth="1"/>
    <col min="3071" max="3071" width="15.08984375" style="2" bestFit="1" customWidth="1"/>
    <col min="3072" max="3320" width="8.7265625" style="2"/>
    <col min="3321" max="3321" width="6.08984375" style="2" customWidth="1"/>
    <col min="3322" max="3324" width="11.7265625" style="2" customWidth="1"/>
    <col min="3325" max="3326" width="9.7265625" style="2" customWidth="1"/>
    <col min="3327" max="3327" width="15.08984375" style="2" bestFit="1" customWidth="1"/>
    <col min="3328" max="3576" width="8.7265625" style="2"/>
    <col min="3577" max="3577" width="6.08984375" style="2" customWidth="1"/>
    <col min="3578" max="3580" width="11.7265625" style="2" customWidth="1"/>
    <col min="3581" max="3582" width="9.7265625" style="2" customWidth="1"/>
    <col min="3583" max="3583" width="15.08984375" style="2" bestFit="1" customWidth="1"/>
    <col min="3584" max="3832" width="8.7265625" style="2"/>
    <col min="3833" max="3833" width="6.08984375" style="2" customWidth="1"/>
    <col min="3834" max="3836" width="11.7265625" style="2" customWidth="1"/>
    <col min="3837" max="3838" width="9.7265625" style="2" customWidth="1"/>
    <col min="3839" max="3839" width="15.08984375" style="2" bestFit="1" customWidth="1"/>
    <col min="3840" max="4088" width="8.7265625" style="2"/>
    <col min="4089" max="4089" width="6.08984375" style="2" customWidth="1"/>
    <col min="4090" max="4092" width="11.7265625" style="2" customWidth="1"/>
    <col min="4093" max="4094" width="9.7265625" style="2" customWidth="1"/>
    <col min="4095" max="4095" width="15.08984375" style="2" bestFit="1" customWidth="1"/>
    <col min="4096" max="4344" width="8.7265625" style="2"/>
    <col min="4345" max="4345" width="6.08984375" style="2" customWidth="1"/>
    <col min="4346" max="4348" width="11.7265625" style="2" customWidth="1"/>
    <col min="4349" max="4350" width="9.7265625" style="2" customWidth="1"/>
    <col min="4351" max="4351" width="15.08984375" style="2" bestFit="1" customWidth="1"/>
    <col min="4352" max="4600" width="8.7265625" style="2"/>
    <col min="4601" max="4601" width="6.08984375" style="2" customWidth="1"/>
    <col min="4602" max="4604" width="11.7265625" style="2" customWidth="1"/>
    <col min="4605" max="4606" width="9.7265625" style="2" customWidth="1"/>
    <col min="4607" max="4607" width="15.08984375" style="2" bestFit="1" customWidth="1"/>
    <col min="4608" max="4856" width="8.7265625" style="2"/>
    <col min="4857" max="4857" width="6.08984375" style="2" customWidth="1"/>
    <col min="4858" max="4860" width="11.7265625" style="2" customWidth="1"/>
    <col min="4861" max="4862" width="9.7265625" style="2" customWidth="1"/>
    <col min="4863" max="4863" width="15.08984375" style="2" bestFit="1" customWidth="1"/>
    <col min="4864" max="5112" width="8.7265625" style="2"/>
    <col min="5113" max="5113" width="6.08984375" style="2" customWidth="1"/>
    <col min="5114" max="5116" width="11.7265625" style="2" customWidth="1"/>
    <col min="5117" max="5118" width="9.7265625" style="2" customWidth="1"/>
    <col min="5119" max="5119" width="15.08984375" style="2" bestFit="1" customWidth="1"/>
    <col min="5120" max="5368" width="8.7265625" style="2"/>
    <col min="5369" max="5369" width="6.08984375" style="2" customWidth="1"/>
    <col min="5370" max="5372" width="11.7265625" style="2" customWidth="1"/>
    <col min="5373" max="5374" width="9.7265625" style="2" customWidth="1"/>
    <col min="5375" max="5375" width="15.08984375" style="2" bestFit="1" customWidth="1"/>
    <col min="5376" max="5624" width="8.7265625" style="2"/>
    <col min="5625" max="5625" width="6.08984375" style="2" customWidth="1"/>
    <col min="5626" max="5628" width="11.7265625" style="2" customWidth="1"/>
    <col min="5629" max="5630" width="9.7265625" style="2" customWidth="1"/>
    <col min="5631" max="5631" width="15.08984375" style="2" bestFit="1" customWidth="1"/>
    <col min="5632" max="5880" width="8.7265625" style="2"/>
    <col min="5881" max="5881" width="6.08984375" style="2" customWidth="1"/>
    <col min="5882" max="5884" width="11.7265625" style="2" customWidth="1"/>
    <col min="5885" max="5886" width="9.7265625" style="2" customWidth="1"/>
    <col min="5887" max="5887" width="15.08984375" style="2" bestFit="1" customWidth="1"/>
    <col min="5888" max="6136" width="8.7265625" style="2"/>
    <col min="6137" max="6137" width="6.08984375" style="2" customWidth="1"/>
    <col min="6138" max="6140" width="11.7265625" style="2" customWidth="1"/>
    <col min="6141" max="6142" width="9.7265625" style="2" customWidth="1"/>
    <col min="6143" max="6143" width="15.08984375" style="2" bestFit="1" customWidth="1"/>
    <col min="6144" max="6392" width="8.7265625" style="2"/>
    <col min="6393" max="6393" width="6.08984375" style="2" customWidth="1"/>
    <col min="6394" max="6396" width="11.7265625" style="2" customWidth="1"/>
    <col min="6397" max="6398" width="9.7265625" style="2" customWidth="1"/>
    <col min="6399" max="6399" width="15.08984375" style="2" bestFit="1" customWidth="1"/>
    <col min="6400" max="6648" width="8.7265625" style="2"/>
    <col min="6649" max="6649" width="6.08984375" style="2" customWidth="1"/>
    <col min="6650" max="6652" width="11.7265625" style="2" customWidth="1"/>
    <col min="6653" max="6654" width="9.7265625" style="2" customWidth="1"/>
    <col min="6655" max="6655" width="15.08984375" style="2" bestFit="1" customWidth="1"/>
    <col min="6656" max="6904" width="8.7265625" style="2"/>
    <col min="6905" max="6905" width="6.08984375" style="2" customWidth="1"/>
    <col min="6906" max="6908" width="11.7265625" style="2" customWidth="1"/>
    <col min="6909" max="6910" width="9.7265625" style="2" customWidth="1"/>
    <col min="6911" max="6911" width="15.08984375" style="2" bestFit="1" customWidth="1"/>
    <col min="6912" max="7160" width="8.7265625" style="2"/>
    <col min="7161" max="7161" width="6.08984375" style="2" customWidth="1"/>
    <col min="7162" max="7164" width="11.7265625" style="2" customWidth="1"/>
    <col min="7165" max="7166" width="9.7265625" style="2" customWidth="1"/>
    <col min="7167" max="7167" width="15.08984375" style="2" bestFit="1" customWidth="1"/>
    <col min="7168" max="7416" width="8.7265625" style="2"/>
    <col min="7417" max="7417" width="6.08984375" style="2" customWidth="1"/>
    <col min="7418" max="7420" width="11.7265625" style="2" customWidth="1"/>
    <col min="7421" max="7422" width="9.7265625" style="2" customWidth="1"/>
    <col min="7423" max="7423" width="15.08984375" style="2" bestFit="1" customWidth="1"/>
    <col min="7424" max="7672" width="8.7265625" style="2"/>
    <col min="7673" max="7673" width="6.08984375" style="2" customWidth="1"/>
    <col min="7674" max="7676" width="11.7265625" style="2" customWidth="1"/>
    <col min="7677" max="7678" width="9.7265625" style="2" customWidth="1"/>
    <col min="7679" max="7679" width="15.08984375" style="2" bestFit="1" customWidth="1"/>
    <col min="7680" max="7928" width="8.7265625" style="2"/>
    <col min="7929" max="7929" width="6.08984375" style="2" customWidth="1"/>
    <col min="7930" max="7932" width="11.7265625" style="2" customWidth="1"/>
    <col min="7933" max="7934" width="9.7265625" style="2" customWidth="1"/>
    <col min="7935" max="7935" width="15.08984375" style="2" bestFit="1" customWidth="1"/>
    <col min="7936" max="8184" width="8.7265625" style="2"/>
    <col min="8185" max="8185" width="6.08984375" style="2" customWidth="1"/>
    <col min="8186" max="8188" width="11.7265625" style="2" customWidth="1"/>
    <col min="8189" max="8190" width="9.7265625" style="2" customWidth="1"/>
    <col min="8191" max="8191" width="15.08984375" style="2" bestFit="1" customWidth="1"/>
    <col min="8192" max="8440" width="8.7265625" style="2"/>
    <col min="8441" max="8441" width="6.08984375" style="2" customWidth="1"/>
    <col min="8442" max="8444" width="11.7265625" style="2" customWidth="1"/>
    <col min="8445" max="8446" width="9.7265625" style="2" customWidth="1"/>
    <col min="8447" max="8447" width="15.08984375" style="2" bestFit="1" customWidth="1"/>
    <col min="8448" max="8696" width="8.7265625" style="2"/>
    <col min="8697" max="8697" width="6.08984375" style="2" customWidth="1"/>
    <col min="8698" max="8700" width="11.7265625" style="2" customWidth="1"/>
    <col min="8701" max="8702" width="9.7265625" style="2" customWidth="1"/>
    <col min="8703" max="8703" width="15.08984375" style="2" bestFit="1" customWidth="1"/>
    <col min="8704" max="8952" width="8.7265625" style="2"/>
    <col min="8953" max="8953" width="6.08984375" style="2" customWidth="1"/>
    <col min="8954" max="8956" width="11.7265625" style="2" customWidth="1"/>
    <col min="8957" max="8958" width="9.7265625" style="2" customWidth="1"/>
    <col min="8959" max="8959" width="15.08984375" style="2" bestFit="1" customWidth="1"/>
    <col min="8960" max="9208" width="8.7265625" style="2"/>
    <col min="9209" max="9209" width="6.08984375" style="2" customWidth="1"/>
    <col min="9210" max="9212" width="11.7265625" style="2" customWidth="1"/>
    <col min="9213" max="9214" width="9.7265625" style="2" customWidth="1"/>
    <col min="9215" max="9215" width="15.08984375" style="2" bestFit="1" customWidth="1"/>
    <col min="9216" max="9464" width="8.7265625" style="2"/>
    <col min="9465" max="9465" width="6.08984375" style="2" customWidth="1"/>
    <col min="9466" max="9468" width="11.7265625" style="2" customWidth="1"/>
    <col min="9469" max="9470" width="9.7265625" style="2" customWidth="1"/>
    <col min="9471" max="9471" width="15.08984375" style="2" bestFit="1" customWidth="1"/>
    <col min="9472" max="9720" width="8.7265625" style="2"/>
    <col min="9721" max="9721" width="6.08984375" style="2" customWidth="1"/>
    <col min="9722" max="9724" width="11.7265625" style="2" customWidth="1"/>
    <col min="9725" max="9726" width="9.7265625" style="2" customWidth="1"/>
    <col min="9727" max="9727" width="15.08984375" style="2" bestFit="1" customWidth="1"/>
    <col min="9728" max="9976" width="8.7265625" style="2"/>
    <col min="9977" max="9977" width="6.08984375" style="2" customWidth="1"/>
    <col min="9978" max="9980" width="11.7265625" style="2" customWidth="1"/>
    <col min="9981" max="9982" width="9.7265625" style="2" customWidth="1"/>
    <col min="9983" max="9983" width="15.08984375" style="2" bestFit="1" customWidth="1"/>
    <col min="9984" max="10232" width="8.7265625" style="2"/>
    <col min="10233" max="10233" width="6.08984375" style="2" customWidth="1"/>
    <col min="10234" max="10236" width="11.7265625" style="2" customWidth="1"/>
    <col min="10237" max="10238" width="9.7265625" style="2" customWidth="1"/>
    <col min="10239" max="10239" width="15.08984375" style="2" bestFit="1" customWidth="1"/>
    <col min="10240" max="10488" width="8.7265625" style="2"/>
    <col min="10489" max="10489" width="6.08984375" style="2" customWidth="1"/>
    <col min="10490" max="10492" width="11.7265625" style="2" customWidth="1"/>
    <col min="10493" max="10494" width="9.7265625" style="2" customWidth="1"/>
    <col min="10495" max="10495" width="15.08984375" style="2" bestFit="1" customWidth="1"/>
    <col min="10496" max="10744" width="8.7265625" style="2"/>
    <col min="10745" max="10745" width="6.08984375" style="2" customWidth="1"/>
    <col min="10746" max="10748" width="11.7265625" style="2" customWidth="1"/>
    <col min="10749" max="10750" width="9.7265625" style="2" customWidth="1"/>
    <col min="10751" max="10751" width="15.08984375" style="2" bestFit="1" customWidth="1"/>
    <col min="10752" max="11000" width="8.7265625" style="2"/>
    <col min="11001" max="11001" width="6.08984375" style="2" customWidth="1"/>
    <col min="11002" max="11004" width="11.7265625" style="2" customWidth="1"/>
    <col min="11005" max="11006" width="9.7265625" style="2" customWidth="1"/>
    <col min="11007" max="11007" width="15.08984375" style="2" bestFit="1" customWidth="1"/>
    <col min="11008" max="11256" width="8.7265625" style="2"/>
    <col min="11257" max="11257" width="6.08984375" style="2" customWidth="1"/>
    <col min="11258" max="11260" width="11.7265625" style="2" customWidth="1"/>
    <col min="11261" max="11262" width="9.7265625" style="2" customWidth="1"/>
    <col min="11263" max="11263" width="15.08984375" style="2" bestFit="1" customWidth="1"/>
    <col min="11264" max="11512" width="8.7265625" style="2"/>
    <col min="11513" max="11513" width="6.08984375" style="2" customWidth="1"/>
    <col min="11514" max="11516" width="11.7265625" style="2" customWidth="1"/>
    <col min="11517" max="11518" width="9.7265625" style="2" customWidth="1"/>
    <col min="11519" max="11519" width="15.08984375" style="2" bestFit="1" customWidth="1"/>
    <col min="11520" max="11768" width="8.7265625" style="2"/>
    <col min="11769" max="11769" width="6.08984375" style="2" customWidth="1"/>
    <col min="11770" max="11772" width="11.7265625" style="2" customWidth="1"/>
    <col min="11773" max="11774" width="9.7265625" style="2" customWidth="1"/>
    <col min="11775" max="11775" width="15.08984375" style="2" bestFit="1" customWidth="1"/>
    <col min="11776" max="12024" width="8.7265625" style="2"/>
    <col min="12025" max="12025" width="6.08984375" style="2" customWidth="1"/>
    <col min="12026" max="12028" width="11.7265625" style="2" customWidth="1"/>
    <col min="12029" max="12030" width="9.7265625" style="2" customWidth="1"/>
    <col min="12031" max="12031" width="15.08984375" style="2" bestFit="1" customWidth="1"/>
    <col min="12032" max="12280" width="8.7265625" style="2"/>
    <col min="12281" max="12281" width="6.08984375" style="2" customWidth="1"/>
    <col min="12282" max="12284" width="11.7265625" style="2" customWidth="1"/>
    <col min="12285" max="12286" width="9.7265625" style="2" customWidth="1"/>
    <col min="12287" max="12287" width="15.08984375" style="2" bestFit="1" customWidth="1"/>
    <col min="12288" max="12536" width="8.7265625" style="2"/>
    <col min="12537" max="12537" width="6.08984375" style="2" customWidth="1"/>
    <col min="12538" max="12540" width="11.7265625" style="2" customWidth="1"/>
    <col min="12541" max="12542" width="9.7265625" style="2" customWidth="1"/>
    <col min="12543" max="12543" width="15.08984375" style="2" bestFit="1" customWidth="1"/>
    <col min="12544" max="12792" width="8.7265625" style="2"/>
    <col min="12793" max="12793" width="6.08984375" style="2" customWidth="1"/>
    <col min="12794" max="12796" width="11.7265625" style="2" customWidth="1"/>
    <col min="12797" max="12798" width="9.7265625" style="2" customWidth="1"/>
    <col min="12799" max="12799" width="15.08984375" style="2" bestFit="1" customWidth="1"/>
    <col min="12800" max="13048" width="8.7265625" style="2"/>
    <col min="13049" max="13049" width="6.08984375" style="2" customWidth="1"/>
    <col min="13050" max="13052" width="11.7265625" style="2" customWidth="1"/>
    <col min="13053" max="13054" width="9.7265625" style="2" customWidth="1"/>
    <col min="13055" max="13055" width="15.08984375" style="2" bestFit="1" customWidth="1"/>
    <col min="13056" max="13304" width="8.7265625" style="2"/>
    <col min="13305" max="13305" width="6.08984375" style="2" customWidth="1"/>
    <col min="13306" max="13308" width="11.7265625" style="2" customWidth="1"/>
    <col min="13309" max="13310" width="9.7265625" style="2" customWidth="1"/>
    <col min="13311" max="13311" width="15.08984375" style="2" bestFit="1" customWidth="1"/>
    <col min="13312" max="13560" width="8.7265625" style="2"/>
    <col min="13561" max="13561" width="6.08984375" style="2" customWidth="1"/>
    <col min="13562" max="13564" width="11.7265625" style="2" customWidth="1"/>
    <col min="13565" max="13566" width="9.7265625" style="2" customWidth="1"/>
    <col min="13567" max="13567" width="15.08984375" style="2" bestFit="1" customWidth="1"/>
    <col min="13568" max="13816" width="8.7265625" style="2"/>
    <col min="13817" max="13817" width="6.08984375" style="2" customWidth="1"/>
    <col min="13818" max="13820" width="11.7265625" style="2" customWidth="1"/>
    <col min="13821" max="13822" width="9.7265625" style="2" customWidth="1"/>
    <col min="13823" max="13823" width="15.08984375" style="2" bestFit="1" customWidth="1"/>
    <col min="13824" max="14072" width="8.7265625" style="2"/>
    <col min="14073" max="14073" width="6.08984375" style="2" customWidth="1"/>
    <col min="14074" max="14076" width="11.7265625" style="2" customWidth="1"/>
    <col min="14077" max="14078" width="9.7265625" style="2" customWidth="1"/>
    <col min="14079" max="14079" width="15.08984375" style="2" bestFit="1" customWidth="1"/>
    <col min="14080" max="14328" width="8.7265625" style="2"/>
    <col min="14329" max="14329" width="6.08984375" style="2" customWidth="1"/>
    <col min="14330" max="14332" width="11.7265625" style="2" customWidth="1"/>
    <col min="14333" max="14334" width="9.7265625" style="2" customWidth="1"/>
    <col min="14335" max="14335" width="15.08984375" style="2" bestFit="1" customWidth="1"/>
    <col min="14336" max="14584" width="8.7265625" style="2"/>
    <col min="14585" max="14585" width="6.08984375" style="2" customWidth="1"/>
    <col min="14586" max="14588" width="11.7265625" style="2" customWidth="1"/>
    <col min="14589" max="14590" width="9.7265625" style="2" customWidth="1"/>
    <col min="14591" max="14591" width="15.08984375" style="2" bestFit="1" customWidth="1"/>
    <col min="14592" max="14840" width="8.7265625" style="2"/>
    <col min="14841" max="14841" width="6.08984375" style="2" customWidth="1"/>
    <col min="14842" max="14844" width="11.7265625" style="2" customWidth="1"/>
    <col min="14845" max="14846" width="9.7265625" style="2" customWidth="1"/>
    <col min="14847" max="14847" width="15.08984375" style="2" bestFit="1" customWidth="1"/>
    <col min="14848" max="15096" width="8.7265625" style="2"/>
    <col min="15097" max="15097" width="6.08984375" style="2" customWidth="1"/>
    <col min="15098" max="15100" width="11.7265625" style="2" customWidth="1"/>
    <col min="15101" max="15102" width="9.7265625" style="2" customWidth="1"/>
    <col min="15103" max="15103" width="15.08984375" style="2" bestFit="1" customWidth="1"/>
    <col min="15104" max="15352" width="8.7265625" style="2"/>
    <col min="15353" max="15353" width="6.08984375" style="2" customWidth="1"/>
    <col min="15354" max="15356" width="11.7265625" style="2" customWidth="1"/>
    <col min="15357" max="15358" width="9.7265625" style="2" customWidth="1"/>
    <col min="15359" max="15359" width="15.08984375" style="2" bestFit="1" customWidth="1"/>
    <col min="15360" max="15608" width="8.7265625" style="2"/>
    <col min="15609" max="15609" width="6.08984375" style="2" customWidth="1"/>
    <col min="15610" max="15612" width="11.7265625" style="2" customWidth="1"/>
    <col min="15613" max="15614" width="9.7265625" style="2" customWidth="1"/>
    <col min="15615" max="15615" width="15.08984375" style="2" bestFit="1" customWidth="1"/>
    <col min="15616" max="15864" width="8.7265625" style="2"/>
    <col min="15865" max="15865" width="6.08984375" style="2" customWidth="1"/>
    <col min="15866" max="15868" width="11.7265625" style="2" customWidth="1"/>
    <col min="15869" max="15870" width="9.7265625" style="2" customWidth="1"/>
    <col min="15871" max="15871" width="15.08984375" style="2" bestFit="1" customWidth="1"/>
    <col min="15872" max="16120" width="8.7265625" style="2"/>
    <col min="16121" max="16121" width="6.08984375" style="2" customWidth="1"/>
    <col min="16122" max="16124" width="11.7265625" style="2" customWidth="1"/>
    <col min="16125" max="16126" width="9.7265625" style="2" customWidth="1"/>
    <col min="16127" max="16127" width="15.08984375" style="2" bestFit="1" customWidth="1"/>
    <col min="16128" max="16384" width="8.7265625" style="2"/>
  </cols>
  <sheetData>
    <row r="1" spans="1:10">
      <c r="A1" s="784" t="s">
        <v>533</v>
      </c>
      <c r="B1" s="784"/>
      <c r="C1" s="784"/>
      <c r="D1" s="784"/>
      <c r="E1" s="784"/>
      <c r="F1" s="784"/>
      <c r="G1" s="784"/>
      <c r="H1" s="784"/>
      <c r="I1" s="784"/>
    </row>
    <row r="2" spans="1:10">
      <c r="A2" s="784" t="s">
        <v>204</v>
      </c>
      <c r="B2" s="784"/>
      <c r="C2" s="784"/>
      <c r="D2" s="784"/>
      <c r="E2" s="784"/>
      <c r="F2" s="784"/>
      <c r="G2" s="784"/>
      <c r="H2" s="784"/>
      <c r="I2" s="784"/>
    </row>
    <row r="3" spans="1:10">
      <c r="A3" s="785" t="str">
        <f>'Act Att-H'!C7</f>
        <v>Cheyenne Light, Fuel &amp; Power</v>
      </c>
      <c r="B3" s="785"/>
      <c r="C3" s="785"/>
      <c r="D3" s="785"/>
      <c r="E3" s="785"/>
      <c r="F3" s="785"/>
      <c r="G3" s="785"/>
      <c r="H3" s="785"/>
      <c r="I3" s="785"/>
    </row>
    <row r="4" spans="1:10" s="216" customFormat="1">
      <c r="I4" s="205" t="s">
        <v>673</v>
      </c>
    </row>
    <row r="5" spans="1:10">
      <c r="A5" s="426"/>
      <c r="B5" s="426"/>
      <c r="C5" s="426"/>
      <c r="D5" s="426"/>
      <c r="E5" s="426"/>
      <c r="F5" s="426"/>
      <c r="G5" s="426"/>
    </row>
    <row r="6" spans="1:10">
      <c r="G6" s="207"/>
    </row>
    <row r="7" spans="1:10">
      <c r="A7" s="425"/>
      <c r="B7" s="425"/>
      <c r="C7" s="186"/>
      <c r="D7" s="186" t="s">
        <v>770</v>
      </c>
      <c r="E7" s="186" t="s">
        <v>771</v>
      </c>
      <c r="G7" s="27"/>
    </row>
    <row r="8" spans="1:10">
      <c r="B8" s="425"/>
      <c r="C8" s="186"/>
      <c r="D8" s="186" t="s">
        <v>636</v>
      </c>
      <c r="E8" s="186" t="s">
        <v>700</v>
      </c>
      <c r="F8" s="223"/>
      <c r="G8" s="27"/>
    </row>
    <row r="9" spans="1:10">
      <c r="A9" s="426" t="s">
        <v>4</v>
      </c>
      <c r="B9" s="186" t="s">
        <v>478</v>
      </c>
      <c r="C9" s="186" t="s">
        <v>769</v>
      </c>
      <c r="D9" s="750">
        <v>44531</v>
      </c>
      <c r="E9" s="750">
        <v>44896</v>
      </c>
      <c r="F9" s="186" t="s">
        <v>768</v>
      </c>
      <c r="G9" s="780" t="s">
        <v>1072</v>
      </c>
      <c r="H9" s="780"/>
      <c r="I9" s="186" t="s">
        <v>7</v>
      </c>
      <c r="J9" s="186" t="s">
        <v>1169</v>
      </c>
    </row>
    <row r="10" spans="1:10" ht="13.8" thickBot="1">
      <c r="A10" s="428" t="s">
        <v>6</v>
      </c>
      <c r="B10" s="427" t="s">
        <v>157</v>
      </c>
      <c r="C10" s="427" t="s">
        <v>158</v>
      </c>
      <c r="D10" s="427" t="s">
        <v>159</v>
      </c>
      <c r="E10" s="427" t="s">
        <v>160</v>
      </c>
      <c r="F10" s="427" t="s">
        <v>161</v>
      </c>
      <c r="G10" s="723" t="s">
        <v>715</v>
      </c>
      <c r="H10" s="723" t="s">
        <v>163</v>
      </c>
      <c r="I10" s="723" t="s">
        <v>164</v>
      </c>
      <c r="J10" s="723" t="s">
        <v>194</v>
      </c>
    </row>
    <row r="11" spans="1:10">
      <c r="A11" s="206">
        <v>1</v>
      </c>
      <c r="G11" s="27"/>
    </row>
    <row r="12" spans="1:10" ht="15" customHeight="1">
      <c r="A12" s="206">
        <f t="shared" ref="A12:A15" si="0">+A11+1</f>
        <v>2</v>
      </c>
      <c r="B12" s="423" t="s">
        <v>133</v>
      </c>
      <c r="C12" s="207" t="s">
        <v>777</v>
      </c>
      <c r="D12" s="424">
        <v>0</v>
      </c>
      <c r="E12" s="424">
        <v>0</v>
      </c>
      <c r="F12" s="208">
        <f>(D12+E12)/2</f>
        <v>0</v>
      </c>
      <c r="G12" s="27"/>
    </row>
    <row r="13" spans="1:10" ht="15" customHeight="1">
      <c r="A13" s="206">
        <f t="shared" si="0"/>
        <v>3</v>
      </c>
      <c r="B13" s="423" t="s">
        <v>134</v>
      </c>
      <c r="C13" s="207" t="s">
        <v>774</v>
      </c>
      <c r="D13" s="424">
        <v>-67847487.618393347</v>
      </c>
      <c r="E13" s="424">
        <v>-74674604.139379382</v>
      </c>
      <c r="F13" s="208">
        <f>(D13+E13)/2</f>
        <v>-71261045.878886372</v>
      </c>
      <c r="G13" s="27"/>
      <c r="I13" s="582"/>
    </row>
    <row r="14" spans="1:10" ht="15" customHeight="1">
      <c r="A14" s="206">
        <f t="shared" si="0"/>
        <v>4</v>
      </c>
      <c r="B14" s="423" t="s">
        <v>135</v>
      </c>
      <c r="C14" s="207" t="s">
        <v>775</v>
      </c>
      <c r="D14" s="424">
        <v>-5119768</v>
      </c>
      <c r="E14" s="424">
        <v>-2910131</v>
      </c>
      <c r="F14" s="208">
        <f>(D14+E14)/2</f>
        <v>-4014949.5</v>
      </c>
      <c r="G14" s="27"/>
    </row>
    <row r="15" spans="1:10" ht="15" customHeight="1">
      <c r="A15" s="206">
        <f t="shared" si="0"/>
        <v>5</v>
      </c>
      <c r="B15" s="423" t="s">
        <v>136</v>
      </c>
      <c r="C15" s="207" t="s">
        <v>776</v>
      </c>
      <c r="D15" s="424">
        <v>16680632</v>
      </c>
      <c r="E15" s="424">
        <v>25144204</v>
      </c>
      <c r="F15" s="208">
        <f>(D15+E15)/2</f>
        <v>20912418</v>
      </c>
      <c r="G15" s="27"/>
      <c r="J15" s="583"/>
    </row>
    <row r="16" spans="1:10">
      <c r="A16" s="206">
        <v>6</v>
      </c>
      <c r="J16" s="583"/>
    </row>
    <row r="17" spans="1:10">
      <c r="A17" s="206">
        <v>7</v>
      </c>
      <c r="B17" s="722" t="s">
        <v>1086</v>
      </c>
      <c r="C17" s="208"/>
      <c r="D17" s="59"/>
      <c r="E17" s="59"/>
      <c r="F17" s="59"/>
      <c r="J17" s="583"/>
    </row>
    <row r="18" spans="1:10">
      <c r="A18" s="206">
        <v>8</v>
      </c>
      <c r="B18" s="655" t="s">
        <v>998</v>
      </c>
      <c r="C18" s="208"/>
      <c r="D18" s="59"/>
      <c r="E18" s="59"/>
      <c r="F18" s="59"/>
      <c r="J18" s="583"/>
    </row>
    <row r="19" spans="1:10">
      <c r="A19" s="206">
        <f>A18+1</f>
        <v>9</v>
      </c>
      <c r="B19" s="423" t="s">
        <v>1021</v>
      </c>
      <c r="C19" s="207" t="s">
        <v>1002</v>
      </c>
      <c r="D19" s="424">
        <v>1583433</v>
      </c>
      <c r="E19" s="424">
        <v>1536169</v>
      </c>
      <c r="F19" s="208">
        <f t="shared" ref="F19:F21" si="1">(D19+E19)/2</f>
        <v>1559801</v>
      </c>
      <c r="J19" s="583"/>
    </row>
    <row r="20" spans="1:10">
      <c r="A20" s="206">
        <f t="shared" ref="A20:A34" si="2">A19+1</f>
        <v>10</v>
      </c>
      <c r="B20" s="423" t="s">
        <v>1068</v>
      </c>
      <c r="C20" s="207" t="s">
        <v>1003</v>
      </c>
      <c r="D20" s="424">
        <v>-1806</v>
      </c>
      <c r="E20" s="424">
        <v>-594</v>
      </c>
      <c r="F20" s="208">
        <f t="shared" si="1"/>
        <v>-1200</v>
      </c>
      <c r="J20" s="583"/>
    </row>
    <row r="21" spans="1:10">
      <c r="A21" s="206">
        <f t="shared" si="2"/>
        <v>11</v>
      </c>
      <c r="B21" s="423" t="s">
        <v>1069</v>
      </c>
      <c r="C21" s="207" t="s">
        <v>1004</v>
      </c>
      <c r="D21" s="424">
        <v>-1170141</v>
      </c>
      <c r="E21" s="424">
        <v>-557232</v>
      </c>
      <c r="F21" s="208">
        <f t="shared" si="1"/>
        <v>-863686.5</v>
      </c>
      <c r="J21" s="583"/>
    </row>
    <row r="22" spans="1:10">
      <c r="A22" s="206">
        <f t="shared" si="2"/>
        <v>12</v>
      </c>
      <c r="B22" s="423" t="s">
        <v>388</v>
      </c>
      <c r="C22" s="208"/>
      <c r="D22" s="59"/>
      <c r="E22" s="59"/>
      <c r="F22" s="59">
        <f>SUM(F19:F21)</f>
        <v>694914.5</v>
      </c>
      <c r="J22" s="583"/>
    </row>
    <row r="23" spans="1:10">
      <c r="A23" s="206">
        <f t="shared" si="2"/>
        <v>13</v>
      </c>
      <c r="B23" s="423" t="s">
        <v>1005</v>
      </c>
      <c r="C23" s="208"/>
      <c r="D23" s="59"/>
      <c r="E23" s="59"/>
      <c r="F23" s="656">
        <f>'Act Att-H'!D243</f>
        <v>0.21</v>
      </c>
      <c r="J23" s="583"/>
    </row>
    <row r="24" spans="1:10">
      <c r="A24" s="206">
        <f t="shared" si="2"/>
        <v>14</v>
      </c>
      <c r="B24" s="423" t="s">
        <v>1020</v>
      </c>
      <c r="C24" s="208"/>
      <c r="D24" s="59"/>
      <c r="E24" s="59"/>
      <c r="F24" s="677">
        <f>F22*F23</f>
        <v>145932.04499999998</v>
      </c>
      <c r="J24" s="583"/>
    </row>
    <row r="25" spans="1:10">
      <c r="A25" s="206">
        <f t="shared" si="2"/>
        <v>15</v>
      </c>
      <c r="B25" s="423"/>
      <c r="C25" s="208"/>
      <c r="D25" s="59"/>
      <c r="E25" s="59"/>
      <c r="F25" s="59"/>
      <c r="J25" s="583"/>
    </row>
    <row r="26" spans="1:10" ht="15" customHeight="1">
      <c r="A26" s="206">
        <f t="shared" si="2"/>
        <v>16</v>
      </c>
      <c r="C26" s="222"/>
      <c r="D26" s="222"/>
    </row>
    <row r="27" spans="1:10">
      <c r="A27" s="206">
        <f t="shared" si="2"/>
        <v>17</v>
      </c>
      <c r="B27" s="425" t="s">
        <v>1174</v>
      </c>
      <c r="C27" s="222"/>
      <c r="D27" s="222"/>
    </row>
    <row r="28" spans="1:10">
      <c r="A28" s="206">
        <f t="shared" si="2"/>
        <v>18</v>
      </c>
      <c r="B28" s="2" t="s">
        <v>1178</v>
      </c>
      <c r="C28" s="222" t="s">
        <v>918</v>
      </c>
      <c r="D28" s="424">
        <v>-38202551.859999999</v>
      </c>
      <c r="E28" s="424">
        <v>-37553919</v>
      </c>
      <c r="F28" s="208">
        <f t="shared" ref="F28:F32" si="3">(D28+E28)/2</f>
        <v>-37878235.43</v>
      </c>
      <c r="G28" s="27" t="s">
        <v>1067</v>
      </c>
      <c r="H28" s="675">
        <v>7.9579520269658199E-2</v>
      </c>
      <c r="I28" s="208">
        <f t="shared" ref="I28:I32" si="4">H28*F28</f>
        <v>-3014331.8041805704</v>
      </c>
      <c r="J28" s="208" t="s">
        <v>1166</v>
      </c>
    </row>
    <row r="29" spans="1:10">
      <c r="A29" s="206">
        <f t="shared" si="2"/>
        <v>19</v>
      </c>
      <c r="B29" s="2" t="s">
        <v>1179</v>
      </c>
      <c r="C29" s="222" t="s">
        <v>918</v>
      </c>
      <c r="D29" s="424">
        <v>-1514122.58</v>
      </c>
      <c r="E29" s="424">
        <v>-167605</v>
      </c>
      <c r="F29" s="208">
        <f t="shared" si="3"/>
        <v>-840863.79</v>
      </c>
      <c r="G29" s="27" t="s">
        <v>1067</v>
      </c>
      <c r="H29" s="675">
        <v>7.9579520269658158E-2</v>
      </c>
      <c r="I29" s="208">
        <f t="shared" si="4"/>
        <v>-66915.537020326577</v>
      </c>
      <c r="J29" s="208" t="s">
        <v>1168</v>
      </c>
    </row>
    <row r="30" spans="1:10">
      <c r="A30" s="206">
        <f t="shared" si="2"/>
        <v>20</v>
      </c>
      <c r="B30" s="2" t="s">
        <v>1189</v>
      </c>
      <c r="C30" s="222" t="s">
        <v>918</v>
      </c>
      <c r="D30" s="424">
        <v>1306637.32</v>
      </c>
      <c r="E30" s="424">
        <v>833954.42999999993</v>
      </c>
      <c r="F30" s="208">
        <f t="shared" si="3"/>
        <v>1070295.875</v>
      </c>
      <c r="G30" s="27" t="s">
        <v>1067</v>
      </c>
      <c r="H30" s="675">
        <v>7.9579520269658158E-2</v>
      </c>
      <c r="I30" s="208">
        <f t="shared" si="4"/>
        <v>85173.632279094018</v>
      </c>
      <c r="J30" s="208" t="s">
        <v>1166</v>
      </c>
    </row>
    <row r="31" spans="1:10">
      <c r="A31" s="206">
        <f t="shared" si="2"/>
        <v>21</v>
      </c>
      <c r="B31" s="2" t="s">
        <v>1180</v>
      </c>
      <c r="C31" s="222" t="s">
        <v>918</v>
      </c>
      <c r="D31" s="424">
        <v>632355</v>
      </c>
      <c r="E31" s="424">
        <v>632355</v>
      </c>
      <c r="F31" s="208">
        <f t="shared" si="3"/>
        <v>632355</v>
      </c>
      <c r="G31" s="27" t="s">
        <v>1067</v>
      </c>
      <c r="H31" s="675">
        <v>7.9579520269658158E-2</v>
      </c>
      <c r="I31" s="208">
        <f t="shared" si="4"/>
        <v>50322.507540119681</v>
      </c>
      <c r="J31" s="208" t="s">
        <v>1168</v>
      </c>
    </row>
    <row r="32" spans="1:10">
      <c r="A32" s="206">
        <f t="shared" si="2"/>
        <v>22</v>
      </c>
      <c r="B32" s="423" t="s">
        <v>1066</v>
      </c>
      <c r="C32" s="222" t="s">
        <v>918</v>
      </c>
      <c r="D32" s="424">
        <v>-12513</v>
      </c>
      <c r="E32" s="424">
        <v>-7818.999999999779</v>
      </c>
      <c r="F32" s="208">
        <f t="shared" si="3"/>
        <v>-10165.999999999889</v>
      </c>
      <c r="G32" s="27" t="s">
        <v>1067</v>
      </c>
      <c r="H32" s="675">
        <v>7.9579520269658158E-2</v>
      </c>
      <c r="I32" s="208">
        <f t="shared" si="4"/>
        <v>-809.00540306133598</v>
      </c>
      <c r="J32" s="208" t="s">
        <v>1167</v>
      </c>
    </row>
    <row r="33" spans="1:10">
      <c r="A33" s="206">
        <f t="shared" si="2"/>
        <v>23</v>
      </c>
      <c r="B33" s="423" t="s">
        <v>1130</v>
      </c>
      <c r="C33" s="721"/>
      <c r="D33" s="423"/>
      <c r="E33" s="423"/>
      <c r="F33" s="423"/>
      <c r="G33" s="423"/>
      <c r="H33" s="423"/>
      <c r="I33" s="423"/>
      <c r="J33" s="583"/>
    </row>
    <row r="34" spans="1:10">
      <c r="A34" s="206">
        <f t="shared" si="2"/>
        <v>24</v>
      </c>
      <c r="B34" s="720" t="s">
        <v>1181</v>
      </c>
      <c r="C34" s="208"/>
      <c r="D34" s="59"/>
      <c r="E34" s="59"/>
      <c r="F34" s="676">
        <f>SUM(F28:F33)</f>
        <v>-37026614.344999999</v>
      </c>
      <c r="I34" s="678">
        <f>SUM(I28:I33)</f>
        <v>-2946560.2067847447</v>
      </c>
      <c r="J34" s="583"/>
    </row>
    <row r="35" spans="1:10">
      <c r="A35" s="206"/>
      <c r="B35" s="423"/>
      <c r="C35" s="208"/>
      <c r="D35" s="59"/>
      <c r="E35" s="59"/>
      <c r="F35" s="59"/>
    </row>
    <row r="36" spans="1:10">
      <c r="A36" s="381" t="s">
        <v>205</v>
      </c>
    </row>
    <row r="37" spans="1:10" ht="16.350000000000001" customHeight="1">
      <c r="A37" s="429" t="s">
        <v>79</v>
      </c>
      <c r="B37" s="787" t="s">
        <v>773</v>
      </c>
      <c r="C37" s="787"/>
      <c r="D37" s="787"/>
      <c r="E37" s="787"/>
      <c r="F37" s="787"/>
    </row>
    <row r="38" spans="1:10" ht="16.350000000000001" customHeight="1">
      <c r="A38" s="429" t="s">
        <v>80</v>
      </c>
      <c r="B38" s="787" t="s">
        <v>772</v>
      </c>
      <c r="C38" s="787"/>
      <c r="D38" s="787"/>
      <c r="E38" s="787"/>
      <c r="F38" s="787"/>
    </row>
    <row r="39" spans="1:10" ht="42.6" customHeight="1">
      <c r="A39" s="421" t="s">
        <v>81</v>
      </c>
      <c r="B39" s="762" t="s">
        <v>1100</v>
      </c>
      <c r="C39" s="762"/>
      <c r="D39" s="762"/>
      <c r="E39" s="762"/>
      <c r="F39" s="762"/>
    </row>
    <row r="40" spans="1:10">
      <c r="A40" s="421" t="s">
        <v>82</v>
      </c>
      <c r="B40" s="2" t="s">
        <v>1080</v>
      </c>
      <c r="C40" s="721"/>
      <c r="D40" s="721"/>
    </row>
    <row r="41" spans="1:10">
      <c r="A41" s="421" t="s">
        <v>83</v>
      </c>
      <c r="B41" s="778" t="s">
        <v>1085</v>
      </c>
      <c r="C41" s="778"/>
      <c r="D41" s="778"/>
      <c r="E41" s="778"/>
      <c r="F41" s="778"/>
    </row>
    <row r="42" spans="1:10" ht="78.75" customHeight="1">
      <c r="A42" s="421" t="s">
        <v>84</v>
      </c>
      <c r="B42" s="776" t="s">
        <v>1176</v>
      </c>
      <c r="C42" s="776"/>
      <c r="D42" s="776"/>
      <c r="E42" s="776"/>
      <c r="F42" s="776"/>
    </row>
    <row r="43" spans="1:10" ht="41.55" customHeight="1">
      <c r="A43" s="421" t="s">
        <v>85</v>
      </c>
      <c r="B43" s="776" t="s">
        <v>1177</v>
      </c>
      <c r="C43" s="776"/>
      <c r="D43" s="776"/>
      <c r="E43" s="776"/>
      <c r="F43" s="776"/>
    </row>
    <row r="44" spans="1:10">
      <c r="A44" s="206"/>
    </row>
    <row r="45" spans="1:10">
      <c r="A45" s="27"/>
      <c r="C45" s="222"/>
      <c r="D45" s="222"/>
    </row>
    <row r="46" spans="1:10">
      <c r="A46" s="206"/>
      <c r="C46" s="222"/>
      <c r="D46" s="222"/>
    </row>
    <row r="47" spans="1:10">
      <c r="A47" s="206"/>
      <c r="C47" s="222"/>
      <c r="D47" s="222"/>
    </row>
    <row r="48" spans="1:10">
      <c r="A48" s="206"/>
      <c r="C48" s="222"/>
      <c r="D48" s="222"/>
    </row>
    <row r="49" spans="1:4">
      <c r="A49" s="206"/>
      <c r="C49" s="222"/>
      <c r="D49" s="222"/>
    </row>
    <row r="50" spans="1:4">
      <c r="C50" s="222"/>
      <c r="D50" s="222"/>
    </row>
    <row r="54" spans="1:4" ht="15" customHeight="1"/>
    <row r="58" spans="1:4" ht="15" customHeight="1"/>
    <row r="66" spans="2:7" ht="15" customHeight="1"/>
    <row r="69" spans="2:7" ht="15" customHeight="1"/>
    <row r="79" spans="2:7" ht="12.75" customHeight="1">
      <c r="B79" s="762"/>
      <c r="C79" s="762"/>
      <c r="D79" s="762"/>
      <c r="E79" s="762"/>
      <c r="F79" s="762"/>
      <c r="G79" s="762"/>
    </row>
    <row r="80" spans="2:7">
      <c r="B80" s="762"/>
      <c r="C80" s="762"/>
      <c r="D80" s="762"/>
      <c r="E80" s="762"/>
      <c r="F80" s="762"/>
      <c r="G80" s="762"/>
    </row>
    <row r="81" spans="2:7">
      <c r="B81" s="762"/>
      <c r="C81" s="762"/>
      <c r="D81" s="762"/>
      <c r="E81" s="762"/>
      <c r="F81" s="762"/>
      <c r="G81" s="762"/>
    </row>
    <row r="82" spans="2:7">
      <c r="B82" s="762"/>
      <c r="C82" s="762"/>
      <c r="D82" s="762"/>
      <c r="E82" s="762"/>
      <c r="F82" s="762"/>
      <c r="G82" s="762"/>
    </row>
    <row r="83" spans="2:7">
      <c r="B83" s="762"/>
      <c r="C83" s="762"/>
      <c r="D83" s="762"/>
      <c r="E83" s="762"/>
      <c r="F83" s="762"/>
      <c r="G83" s="762"/>
    </row>
    <row r="84" spans="2:7" ht="12.75" customHeight="1">
      <c r="B84" s="762"/>
      <c r="C84" s="762"/>
      <c r="D84" s="762"/>
      <c r="E84" s="762"/>
      <c r="F84" s="762"/>
      <c r="G84" s="762"/>
    </row>
    <row r="85" spans="2:7" ht="12.75" customHeight="1">
      <c r="B85" s="762"/>
      <c r="C85" s="762"/>
      <c r="D85" s="762"/>
      <c r="E85" s="762"/>
      <c r="F85" s="762"/>
      <c r="G85" s="762"/>
    </row>
    <row r="86" spans="2:7" ht="12.75" customHeight="1">
      <c r="B86" s="762"/>
      <c r="C86" s="762"/>
      <c r="D86" s="762"/>
      <c r="E86" s="762"/>
      <c r="F86" s="762"/>
      <c r="G86" s="762"/>
    </row>
    <row r="87" spans="2:7">
      <c r="B87" s="786"/>
      <c r="C87" s="786"/>
      <c r="D87" s="786"/>
      <c r="E87" s="786"/>
      <c r="F87" s="786"/>
      <c r="G87" s="786"/>
    </row>
    <row r="88" spans="2:7">
      <c r="B88" s="786"/>
      <c r="C88" s="786"/>
      <c r="D88" s="786"/>
      <c r="E88" s="786"/>
      <c r="F88" s="786"/>
      <c r="G88" s="786"/>
    </row>
    <row r="89" spans="2:7">
      <c r="B89" s="786"/>
      <c r="C89" s="786"/>
      <c r="D89" s="786"/>
      <c r="E89" s="786"/>
      <c r="F89" s="786"/>
      <c r="G89" s="786"/>
    </row>
    <row r="90" spans="2:7">
      <c r="B90" s="786"/>
      <c r="C90" s="786"/>
      <c r="D90" s="786"/>
      <c r="E90" s="786"/>
      <c r="F90" s="786"/>
      <c r="G90" s="786"/>
    </row>
    <row r="91" spans="2:7">
      <c r="B91" s="786"/>
      <c r="C91" s="786"/>
      <c r="D91" s="786"/>
      <c r="E91" s="786"/>
      <c r="F91" s="786"/>
      <c r="G91" s="786"/>
    </row>
  </sheetData>
  <mergeCells count="19">
    <mergeCell ref="G9:H9"/>
    <mergeCell ref="A1:I1"/>
    <mergeCell ref="A2:I2"/>
    <mergeCell ref="A3:I3"/>
    <mergeCell ref="B79:G83"/>
    <mergeCell ref="B37:F37"/>
    <mergeCell ref="B38:F38"/>
    <mergeCell ref="B39:F39"/>
    <mergeCell ref="B42:F42"/>
    <mergeCell ref="B41:F41"/>
    <mergeCell ref="B43:F43"/>
    <mergeCell ref="B84:G84"/>
    <mergeCell ref="B91:G91"/>
    <mergeCell ref="B87:G87"/>
    <mergeCell ref="B85:G85"/>
    <mergeCell ref="B86:G86"/>
    <mergeCell ref="B88:G88"/>
    <mergeCell ref="B89:G89"/>
    <mergeCell ref="B90:G90"/>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I127"/>
  <sheetViews>
    <sheetView zoomScaleNormal="100" workbookViewId="0">
      <selection activeCell="A128" sqref="A128"/>
    </sheetView>
  </sheetViews>
  <sheetFormatPr defaultColWidth="8.7265625" defaultRowHeight="13.2"/>
  <cols>
    <col min="1" max="1" width="5.7265625" style="1" customWidth="1"/>
    <col min="2" max="2" width="26.54296875" style="2" customWidth="1"/>
    <col min="3" max="9" width="15.08984375" style="2" customWidth="1"/>
    <col min="10" max="16384" width="8.7265625" style="2"/>
  </cols>
  <sheetData>
    <row r="1" spans="1:9">
      <c r="C1" s="3"/>
      <c r="E1" s="445" t="s">
        <v>534</v>
      </c>
      <c r="F1" s="3"/>
      <c r="H1" s="3"/>
      <c r="I1" s="3"/>
    </row>
    <row r="2" spans="1:9">
      <c r="A2" s="5"/>
      <c r="C2" s="3"/>
      <c r="D2" s="3"/>
      <c r="E2" s="13" t="s">
        <v>362</v>
      </c>
      <c r="F2" s="3"/>
      <c r="H2" s="3"/>
      <c r="I2" s="3"/>
    </row>
    <row r="3" spans="1:9">
      <c r="A3" s="5"/>
      <c r="C3" s="3"/>
      <c r="D3" s="3"/>
      <c r="E3" s="446" t="str">
        <f>'Act Att-H'!C7</f>
        <v>Cheyenne Light, Fuel &amp; Power</v>
      </c>
      <c r="F3" s="3"/>
      <c r="H3" s="3"/>
      <c r="I3" s="188" t="s">
        <v>977</v>
      </c>
    </row>
    <row r="4" spans="1:9">
      <c r="A4" s="5"/>
      <c r="C4" s="3"/>
      <c r="D4" s="3"/>
      <c r="E4" s="3"/>
      <c r="F4" s="3"/>
      <c r="G4" s="3"/>
      <c r="H4" s="3"/>
      <c r="I4" s="3"/>
    </row>
    <row r="5" spans="1:9" ht="15" customHeight="1">
      <c r="A5" s="5"/>
      <c r="B5" s="7"/>
      <c r="C5" s="789" t="s">
        <v>935</v>
      </c>
      <c r="D5" s="790"/>
      <c r="E5" s="790"/>
      <c r="F5" s="790"/>
      <c r="G5" s="791"/>
      <c r="H5" s="8" t="s">
        <v>318</v>
      </c>
      <c r="I5" s="8" t="s">
        <v>319</v>
      </c>
    </row>
    <row r="6" spans="1:9">
      <c r="A6" s="5"/>
      <c r="B6" s="7"/>
    </row>
    <row r="7" spans="1:9" s="12" customFormat="1" ht="42" customHeight="1">
      <c r="A7" s="9" t="s">
        <v>320</v>
      </c>
      <c r="B7" s="10" t="s">
        <v>268</v>
      </c>
      <c r="C7" s="10" t="s">
        <v>321</v>
      </c>
      <c r="D7" s="10" t="s">
        <v>21</v>
      </c>
      <c r="E7" s="10" t="s">
        <v>322</v>
      </c>
      <c r="F7" s="10" t="s">
        <v>323</v>
      </c>
      <c r="G7" s="11" t="s">
        <v>324</v>
      </c>
      <c r="H7" s="10" t="s">
        <v>325</v>
      </c>
      <c r="I7" s="10" t="s">
        <v>326</v>
      </c>
    </row>
    <row r="8" spans="1:9" s="16" customFormat="1">
      <c r="A8" s="5"/>
      <c r="B8" s="13" t="s">
        <v>157</v>
      </c>
      <c r="C8" s="13" t="s">
        <v>158</v>
      </c>
      <c r="D8" s="13" t="s">
        <v>159</v>
      </c>
      <c r="E8" s="10" t="s">
        <v>160</v>
      </c>
      <c r="F8" s="10" t="s">
        <v>161</v>
      </c>
      <c r="G8" s="10" t="s">
        <v>162</v>
      </c>
      <c r="H8" s="10" t="s">
        <v>163</v>
      </c>
      <c r="I8" s="14" t="s">
        <v>164</v>
      </c>
    </row>
    <row r="9" spans="1:9" s="16" customFormat="1" ht="29.25" customHeight="1">
      <c r="A9" s="5"/>
      <c r="B9" s="17" t="s">
        <v>328</v>
      </c>
      <c r="C9" s="13" t="s">
        <v>111</v>
      </c>
      <c r="D9" s="13" t="s">
        <v>108</v>
      </c>
      <c r="E9" s="13" t="s">
        <v>109</v>
      </c>
      <c r="F9" s="10" t="s">
        <v>112</v>
      </c>
      <c r="G9" s="13" t="s">
        <v>1139</v>
      </c>
      <c r="H9" s="13" t="s">
        <v>329</v>
      </c>
      <c r="I9" s="13" t="s">
        <v>330</v>
      </c>
    </row>
    <row r="10" spans="1:9">
      <c r="A10" s="5">
        <v>1</v>
      </c>
      <c r="B10" s="18" t="s">
        <v>332</v>
      </c>
      <c r="C10" s="19">
        <v>346878792.27999997</v>
      </c>
      <c r="D10" s="19">
        <v>67742673.150000006</v>
      </c>
      <c r="E10" s="19">
        <v>235197196.87000009</v>
      </c>
      <c r="F10" s="19">
        <v>20807560.02</v>
      </c>
      <c r="G10" s="19">
        <v>12388521</v>
      </c>
      <c r="H10" s="754">
        <v>0</v>
      </c>
      <c r="I10" s="19">
        <v>318000</v>
      </c>
    </row>
    <row r="11" spans="1:9">
      <c r="A11" s="5">
        <v>2</v>
      </c>
      <c r="B11" s="18" t="s">
        <v>165</v>
      </c>
      <c r="C11" s="19">
        <v>346863185.77000004</v>
      </c>
      <c r="D11" s="19">
        <v>67806096.25</v>
      </c>
      <c r="E11" s="19">
        <v>236904287.2700001</v>
      </c>
      <c r="F11" s="19">
        <v>20811652.609999999</v>
      </c>
      <c r="G11" s="19">
        <v>12569865</v>
      </c>
      <c r="H11" s="754">
        <v>0</v>
      </c>
      <c r="I11" s="19">
        <v>318000</v>
      </c>
    </row>
    <row r="12" spans="1:9">
      <c r="A12" s="5">
        <v>3</v>
      </c>
      <c r="B12" s="3" t="s">
        <v>166</v>
      </c>
      <c r="C12" s="19">
        <v>347011980.93000001</v>
      </c>
      <c r="D12" s="19">
        <v>73894843.739999995</v>
      </c>
      <c r="E12" s="19">
        <v>244778255.63000011</v>
      </c>
      <c r="F12" s="19">
        <v>20863562.460000001</v>
      </c>
      <c r="G12" s="19">
        <v>12476622</v>
      </c>
      <c r="H12" s="754">
        <v>0</v>
      </c>
      <c r="I12" s="19">
        <v>318000</v>
      </c>
    </row>
    <row r="13" spans="1:9">
      <c r="A13" s="5">
        <v>4</v>
      </c>
      <c r="B13" s="3" t="s">
        <v>333</v>
      </c>
      <c r="C13" s="19">
        <v>347074120.46000004</v>
      </c>
      <c r="D13" s="19">
        <v>73910348.779999986</v>
      </c>
      <c r="E13" s="19">
        <v>245822813.93999997</v>
      </c>
      <c r="F13" s="19">
        <v>20906288.090000004</v>
      </c>
      <c r="G13" s="19">
        <v>12219117</v>
      </c>
      <c r="H13" s="754">
        <v>0</v>
      </c>
      <c r="I13" s="19">
        <v>318000</v>
      </c>
    </row>
    <row r="14" spans="1:9">
      <c r="A14" s="5">
        <v>5</v>
      </c>
      <c r="B14" s="3" t="s">
        <v>167</v>
      </c>
      <c r="C14" s="19">
        <v>347637719.64000005</v>
      </c>
      <c r="D14" s="19">
        <v>73928247.979999989</v>
      </c>
      <c r="E14" s="19">
        <v>247528948.85999995</v>
      </c>
      <c r="F14" s="19">
        <v>20907312.68</v>
      </c>
      <c r="G14" s="19">
        <v>12184980</v>
      </c>
      <c r="H14" s="754">
        <v>0</v>
      </c>
      <c r="I14" s="19">
        <v>318000</v>
      </c>
    </row>
    <row r="15" spans="1:9">
      <c r="A15" s="5">
        <v>6</v>
      </c>
      <c r="B15" s="3" t="s">
        <v>168</v>
      </c>
      <c r="C15" s="19">
        <v>348138723.63999999</v>
      </c>
      <c r="D15" s="19">
        <v>73967272.950000018</v>
      </c>
      <c r="E15" s="19">
        <v>248813991.38000003</v>
      </c>
      <c r="F15" s="19">
        <v>20993987.029999997</v>
      </c>
      <c r="G15" s="19">
        <v>12206997</v>
      </c>
      <c r="H15" s="754">
        <v>0</v>
      </c>
      <c r="I15" s="19">
        <v>318000</v>
      </c>
    </row>
    <row r="16" spans="1:9">
      <c r="A16" s="5">
        <v>7</v>
      </c>
      <c r="B16" s="3" t="s">
        <v>169</v>
      </c>
      <c r="C16" s="19">
        <v>347677752.95000005</v>
      </c>
      <c r="D16" s="19">
        <v>78284859.159999996</v>
      </c>
      <c r="E16" s="19">
        <v>248675891.57999998</v>
      </c>
      <c r="F16" s="19">
        <v>21450327.52</v>
      </c>
      <c r="G16" s="19">
        <v>12287938</v>
      </c>
      <c r="H16" s="754">
        <v>0</v>
      </c>
      <c r="I16" s="19">
        <v>318000</v>
      </c>
    </row>
    <row r="17" spans="1:9">
      <c r="A17" s="5">
        <v>8</v>
      </c>
      <c r="B17" s="3" t="s">
        <v>170</v>
      </c>
      <c r="C17" s="19">
        <v>347705689.24999994</v>
      </c>
      <c r="D17" s="19">
        <v>100361147.26000001</v>
      </c>
      <c r="E17" s="19">
        <v>258850884.97000003</v>
      </c>
      <c r="F17" s="19">
        <v>21746615.969999999</v>
      </c>
      <c r="G17" s="19">
        <v>12698624</v>
      </c>
      <c r="H17" s="754">
        <v>0</v>
      </c>
      <c r="I17" s="19">
        <v>318000</v>
      </c>
    </row>
    <row r="18" spans="1:9">
      <c r="A18" s="5">
        <v>9</v>
      </c>
      <c r="B18" s="3" t="s">
        <v>334</v>
      </c>
      <c r="C18" s="19">
        <v>348195324.20999992</v>
      </c>
      <c r="D18" s="19">
        <v>100409532.84999999</v>
      </c>
      <c r="E18" s="19">
        <v>260581088.37000003</v>
      </c>
      <c r="F18" s="19">
        <v>21825541.530000001</v>
      </c>
      <c r="G18" s="19">
        <v>12842625</v>
      </c>
      <c r="H18" s="754">
        <v>0</v>
      </c>
      <c r="I18" s="19">
        <v>318000</v>
      </c>
    </row>
    <row r="19" spans="1:9">
      <c r="A19" s="5">
        <v>10</v>
      </c>
      <c r="B19" s="3" t="s">
        <v>171</v>
      </c>
      <c r="C19" s="19">
        <v>348495118.65999985</v>
      </c>
      <c r="D19" s="19">
        <v>100519932.76000001</v>
      </c>
      <c r="E19" s="19">
        <v>260724112.57000002</v>
      </c>
      <c r="F19" s="19">
        <v>20800082.469999999</v>
      </c>
      <c r="G19" s="19">
        <v>12866529</v>
      </c>
      <c r="H19" s="754">
        <v>0</v>
      </c>
      <c r="I19" s="19">
        <v>318000</v>
      </c>
    </row>
    <row r="20" spans="1:9">
      <c r="A20" s="5">
        <v>11</v>
      </c>
      <c r="B20" s="3" t="s">
        <v>172</v>
      </c>
      <c r="C20" s="19">
        <v>348990449.73999989</v>
      </c>
      <c r="D20" s="19">
        <v>100785744.85000002</v>
      </c>
      <c r="E20" s="19">
        <v>262316328.63000005</v>
      </c>
      <c r="F20" s="19">
        <v>20947619.059999999</v>
      </c>
      <c r="G20" s="19">
        <v>12692644</v>
      </c>
      <c r="H20" s="754">
        <v>0</v>
      </c>
      <c r="I20" s="19">
        <v>318000</v>
      </c>
    </row>
    <row r="21" spans="1:9">
      <c r="A21" s="5">
        <v>12</v>
      </c>
      <c r="B21" s="3" t="s">
        <v>173</v>
      </c>
      <c r="C21" s="19">
        <v>351632593.23000002</v>
      </c>
      <c r="D21" s="19">
        <v>109437412.95999999</v>
      </c>
      <c r="E21" s="19">
        <v>263937620.92000002</v>
      </c>
      <c r="F21" s="19">
        <v>21012861.799999997</v>
      </c>
      <c r="G21" s="19">
        <v>12728088</v>
      </c>
      <c r="H21" s="754">
        <v>0</v>
      </c>
      <c r="I21" s="19">
        <v>318000</v>
      </c>
    </row>
    <row r="22" spans="1:9">
      <c r="A22" s="5">
        <v>13</v>
      </c>
      <c r="B22" s="3" t="s">
        <v>335</v>
      </c>
      <c r="C22" s="19">
        <v>351343661.71000004</v>
      </c>
      <c r="D22" s="19">
        <v>109401329.69000001</v>
      </c>
      <c r="E22" s="19">
        <v>264589917.11000004</v>
      </c>
      <c r="F22" s="19">
        <v>21617201.75</v>
      </c>
      <c r="G22" s="19">
        <v>12585516</v>
      </c>
      <c r="H22" s="754">
        <v>0</v>
      </c>
      <c r="I22" s="19">
        <v>318000</v>
      </c>
    </row>
    <row r="23" spans="1:9" ht="13.8" thickBot="1">
      <c r="A23" s="5">
        <v>14</v>
      </c>
      <c r="B23" s="20" t="s">
        <v>336</v>
      </c>
      <c r="C23" s="21">
        <f>SUM(C10:C22)/13</f>
        <v>348280393.26692301</v>
      </c>
      <c r="D23" s="21">
        <f>SUM(D10:D22)/13</f>
        <v>86957649.413846165</v>
      </c>
      <c r="E23" s="21">
        <f t="shared" ref="E23:I23" si="0">SUM(E10:E22)/13</f>
        <v>252209333.70000008</v>
      </c>
      <c r="F23" s="21">
        <f t="shared" si="0"/>
        <v>21130047.153076924</v>
      </c>
      <c r="G23" s="21">
        <f t="shared" si="0"/>
        <v>12519082</v>
      </c>
      <c r="H23" s="21">
        <f t="shared" si="0"/>
        <v>0</v>
      </c>
      <c r="I23" s="21">
        <f t="shared" si="0"/>
        <v>318000</v>
      </c>
    </row>
    <row r="24" spans="1:9" ht="13.8" thickTop="1">
      <c r="A24" s="5"/>
      <c r="B24" s="3"/>
      <c r="C24" s="22"/>
      <c r="D24" s="23"/>
      <c r="E24" s="23"/>
      <c r="F24" s="23"/>
      <c r="G24" s="22"/>
      <c r="H24" s="22"/>
      <c r="I24" s="22"/>
    </row>
    <row r="25" spans="1:9">
      <c r="A25" s="5"/>
      <c r="B25" s="3"/>
      <c r="C25" s="22"/>
      <c r="D25" s="23"/>
      <c r="E25" s="23"/>
      <c r="F25" s="23"/>
      <c r="G25" s="22"/>
      <c r="H25" s="22"/>
      <c r="I25" s="22"/>
    </row>
    <row r="26" spans="1:9">
      <c r="A26" s="5"/>
      <c r="B26" s="3"/>
      <c r="C26" s="22"/>
      <c r="D26" s="23"/>
      <c r="E26" s="23"/>
      <c r="F26" s="23"/>
      <c r="G26" s="22"/>
      <c r="H26" s="22"/>
      <c r="I26" s="22"/>
    </row>
    <row r="27" spans="1:9">
      <c r="A27" s="5"/>
      <c r="B27" s="3"/>
      <c r="C27" s="3"/>
    </row>
    <row r="28" spans="1:9">
      <c r="A28" s="5"/>
      <c r="B28" s="3"/>
      <c r="C28" s="605"/>
      <c r="D28" s="604"/>
      <c r="E28" s="792" t="s">
        <v>936</v>
      </c>
      <c r="F28" s="793"/>
      <c r="G28" s="793"/>
      <c r="H28" s="793"/>
      <c r="I28" s="794"/>
    </row>
    <row r="29" spans="1:9">
      <c r="A29" s="5"/>
      <c r="B29" s="3"/>
    </row>
    <row r="30" spans="1:9" ht="26.4">
      <c r="A30" s="9" t="s">
        <v>320</v>
      </c>
      <c r="B30" s="10" t="s">
        <v>268</v>
      </c>
      <c r="C30" s="606" t="s">
        <v>980</v>
      </c>
      <c r="D30" s="606" t="s">
        <v>980</v>
      </c>
      <c r="E30" s="10" t="s">
        <v>321</v>
      </c>
      <c r="F30" s="10" t="s">
        <v>21</v>
      </c>
      <c r="G30" s="10" t="s">
        <v>322</v>
      </c>
      <c r="H30" s="10" t="s">
        <v>323</v>
      </c>
      <c r="I30" s="10" t="s">
        <v>324</v>
      </c>
    </row>
    <row r="31" spans="1:9">
      <c r="A31" s="5"/>
      <c r="B31" s="13" t="s">
        <v>157</v>
      </c>
      <c r="C31" s="341" t="s">
        <v>158</v>
      </c>
      <c r="D31" s="13" t="s">
        <v>159</v>
      </c>
      <c r="E31" s="10" t="s">
        <v>160</v>
      </c>
      <c r="F31" s="10" t="s">
        <v>161</v>
      </c>
      <c r="G31" s="10" t="s">
        <v>162</v>
      </c>
      <c r="H31" s="10" t="s">
        <v>163</v>
      </c>
      <c r="I31" s="14" t="s">
        <v>164</v>
      </c>
    </row>
    <row r="32" spans="1:9">
      <c r="A32" s="5"/>
      <c r="B32" s="17" t="s">
        <v>328</v>
      </c>
      <c r="C32" s="10"/>
      <c r="D32" s="13"/>
      <c r="E32" s="13" t="s">
        <v>103</v>
      </c>
      <c r="F32" s="13" t="s">
        <v>104</v>
      </c>
      <c r="G32" s="13" t="s">
        <v>105</v>
      </c>
      <c r="H32" s="10" t="s">
        <v>331</v>
      </c>
      <c r="I32" s="13" t="s">
        <v>1140</v>
      </c>
    </row>
    <row r="33" spans="1:9">
      <c r="A33" s="5">
        <v>15</v>
      </c>
      <c r="B33" s="18" t="s">
        <v>332</v>
      </c>
      <c r="C33" s="10"/>
      <c r="D33" s="10"/>
      <c r="E33" s="19">
        <v>66857439.510141402</v>
      </c>
      <c r="F33" s="19">
        <v>6876817.0681925677</v>
      </c>
      <c r="G33" s="19">
        <v>66076381.585669987</v>
      </c>
      <c r="H33" s="19">
        <v>5718658.591202464</v>
      </c>
      <c r="I33" s="19">
        <v>1581046</v>
      </c>
    </row>
    <row r="34" spans="1:9">
      <c r="A34" s="5">
        <v>16</v>
      </c>
      <c r="B34" s="18" t="s">
        <v>165</v>
      </c>
      <c r="C34" s="10"/>
      <c r="D34" s="10"/>
      <c r="E34" s="19">
        <v>67651473.160000011</v>
      </c>
      <c r="F34" s="19">
        <v>7025436.1415954996</v>
      </c>
      <c r="G34" s="19">
        <v>66910777.330000021</v>
      </c>
      <c r="H34" s="19">
        <v>5805336.4600000009</v>
      </c>
      <c r="I34" s="19">
        <v>1756308</v>
      </c>
    </row>
    <row r="35" spans="1:9">
      <c r="A35" s="5">
        <v>17</v>
      </c>
      <c r="B35" s="3" t="s">
        <v>166</v>
      </c>
      <c r="C35" s="10"/>
      <c r="D35" s="10"/>
      <c r="E35" s="19">
        <v>68437299.000000015</v>
      </c>
      <c r="F35" s="19">
        <v>7131147.7778219199</v>
      </c>
      <c r="G35" s="19">
        <v>67329800.680000007</v>
      </c>
      <c r="H35" s="19">
        <v>5822257.0800000001</v>
      </c>
      <c r="I35" s="19">
        <v>1928609</v>
      </c>
    </row>
    <row r="36" spans="1:9">
      <c r="A36" s="5">
        <v>18</v>
      </c>
      <c r="B36" s="3" t="s">
        <v>333</v>
      </c>
      <c r="C36" s="10"/>
      <c r="D36" s="10"/>
      <c r="E36" s="19">
        <v>68666248.989999995</v>
      </c>
      <c r="F36" s="19">
        <v>7282439.0463028364</v>
      </c>
      <c r="G36" s="19">
        <v>67497241.260000035</v>
      </c>
      <c r="H36" s="19">
        <v>5717294.8300000001</v>
      </c>
      <c r="I36" s="19">
        <v>2074826</v>
      </c>
    </row>
    <row r="37" spans="1:9">
      <c r="A37" s="5">
        <v>19</v>
      </c>
      <c r="B37" s="3" t="s">
        <v>167</v>
      </c>
      <c r="C37" s="10"/>
      <c r="D37" s="10"/>
      <c r="E37" s="19">
        <v>70011482.940000027</v>
      </c>
      <c r="F37" s="19">
        <v>7419639.3721967507</v>
      </c>
      <c r="G37" s="19">
        <v>68277474.859999985</v>
      </c>
      <c r="H37" s="19">
        <v>5824295.3399999999</v>
      </c>
      <c r="I37" s="19">
        <v>2218624</v>
      </c>
    </row>
    <row r="38" spans="1:9">
      <c r="A38" s="5">
        <v>20</v>
      </c>
      <c r="B38" s="3" t="s">
        <v>168</v>
      </c>
      <c r="C38" s="10"/>
      <c r="D38" s="10"/>
      <c r="E38" s="19">
        <v>70799419.319999993</v>
      </c>
      <c r="F38" s="19">
        <v>7551073.9938760018</v>
      </c>
      <c r="G38" s="19">
        <v>68763727.179999992</v>
      </c>
      <c r="H38" s="19">
        <v>5705095.2000000011</v>
      </c>
      <c r="I38" s="19">
        <v>2298533</v>
      </c>
    </row>
    <row r="39" spans="1:9">
      <c r="A39" s="5">
        <v>21</v>
      </c>
      <c r="B39" s="3" t="s">
        <v>169</v>
      </c>
      <c r="C39" s="10"/>
      <c r="D39" s="10"/>
      <c r="E39" s="19">
        <v>71030170.060000017</v>
      </c>
      <c r="F39" s="19">
        <v>7692431.3671379201</v>
      </c>
      <c r="G39" s="19">
        <v>68919401.689999998</v>
      </c>
      <c r="H39" s="19">
        <v>5835735.9000000004</v>
      </c>
      <c r="I39" s="19">
        <v>2438101</v>
      </c>
    </row>
    <row r="40" spans="1:9">
      <c r="A40" s="5">
        <v>22</v>
      </c>
      <c r="B40" s="3" t="s">
        <v>170</v>
      </c>
      <c r="C40" s="10"/>
      <c r="D40" s="10"/>
      <c r="E40" s="19">
        <v>71756905.689999998</v>
      </c>
      <c r="F40" s="19">
        <v>7849967.6599395834</v>
      </c>
      <c r="G40" s="19">
        <v>69569068.649999991</v>
      </c>
      <c r="H40" s="19">
        <v>5979246.0299999993</v>
      </c>
      <c r="I40" s="19">
        <v>2485460</v>
      </c>
    </row>
    <row r="41" spans="1:9">
      <c r="A41" s="5">
        <v>23</v>
      </c>
      <c r="B41" s="3" t="s">
        <v>334</v>
      </c>
      <c r="C41" s="10"/>
      <c r="D41" s="10"/>
      <c r="E41" s="19">
        <v>72545046.349999994</v>
      </c>
      <c r="F41" s="19">
        <v>8027627.8896344164</v>
      </c>
      <c r="G41" s="19">
        <v>70145053.609999999</v>
      </c>
      <c r="H41" s="19">
        <v>6017084.5600000005</v>
      </c>
      <c r="I41" s="19">
        <v>2632830</v>
      </c>
    </row>
    <row r="42" spans="1:9">
      <c r="A42" s="5">
        <v>24</v>
      </c>
      <c r="B42" s="3" t="s">
        <v>171</v>
      </c>
      <c r="C42" s="10"/>
      <c r="D42" s="10"/>
      <c r="E42" s="19">
        <v>72892023.939999998</v>
      </c>
      <c r="F42" s="19">
        <v>8188406.9177860869</v>
      </c>
      <c r="G42" s="19">
        <v>70185112.330000028</v>
      </c>
      <c r="H42" s="19">
        <v>5100568.4700000007</v>
      </c>
      <c r="I42" s="19">
        <v>2780952</v>
      </c>
    </row>
    <row r="43" spans="1:9">
      <c r="A43" s="5">
        <v>25</v>
      </c>
      <c r="B43" s="3" t="s">
        <v>172</v>
      </c>
      <c r="C43" s="10"/>
      <c r="D43" s="10"/>
      <c r="E43" s="19">
        <v>74124554.219999999</v>
      </c>
      <c r="F43" s="19">
        <v>8383648.5399315879</v>
      </c>
      <c r="G43" s="19">
        <v>70935438.37000002</v>
      </c>
      <c r="H43" s="19">
        <v>5160883.74</v>
      </c>
      <c r="I43" s="19">
        <v>3389659</v>
      </c>
    </row>
    <row r="44" spans="1:9">
      <c r="A44" s="5">
        <v>26</v>
      </c>
      <c r="B44" s="3" t="s">
        <v>173</v>
      </c>
      <c r="C44" s="10"/>
      <c r="D44" s="10"/>
      <c r="E44" s="19">
        <v>74917792.230000004</v>
      </c>
      <c r="F44" s="19">
        <v>8549760.8559230864</v>
      </c>
      <c r="G44" s="19">
        <v>71034732.799999997</v>
      </c>
      <c r="H44" s="19">
        <v>5278843.3900000006</v>
      </c>
      <c r="I44" s="19">
        <v>3538250</v>
      </c>
    </row>
    <row r="45" spans="1:9">
      <c r="A45" s="5">
        <v>27</v>
      </c>
      <c r="B45" s="3" t="s">
        <v>335</v>
      </c>
      <c r="C45" s="10"/>
      <c r="D45" s="10"/>
      <c r="E45" s="19">
        <v>73192958.169999987</v>
      </c>
      <c r="F45" s="19">
        <v>8646509.5184732489</v>
      </c>
      <c r="G45" s="19">
        <v>70555577.889999986</v>
      </c>
      <c r="H45" s="19">
        <v>5259787.62</v>
      </c>
      <c r="I45" s="19">
        <v>3191960</v>
      </c>
    </row>
    <row r="46" spans="1:9" ht="13.8" thickBot="1">
      <c r="A46" s="5">
        <v>28</v>
      </c>
      <c r="B46" s="20" t="s">
        <v>336</v>
      </c>
      <c r="C46" s="21">
        <f t="shared" ref="C46:I46" si="1">SUM(C33:C45)/13</f>
        <v>0</v>
      </c>
      <c r="D46" s="21">
        <f t="shared" si="1"/>
        <v>0</v>
      </c>
      <c r="E46" s="21">
        <f t="shared" si="1"/>
        <v>70990985.660010874</v>
      </c>
      <c r="F46" s="21">
        <f t="shared" si="1"/>
        <v>7740377.3960624235</v>
      </c>
      <c r="G46" s="21">
        <f t="shared" si="1"/>
        <v>68938445.248897687</v>
      </c>
      <c r="H46" s="21">
        <f t="shared" si="1"/>
        <v>5632699.016246344</v>
      </c>
      <c r="I46" s="21">
        <f t="shared" si="1"/>
        <v>2485781.3846153845</v>
      </c>
    </row>
    <row r="47" spans="1:9" ht="13.8" thickTop="1">
      <c r="A47" s="5"/>
      <c r="B47" s="3"/>
    </row>
    <row r="48" spans="1:9">
      <c r="A48" s="5"/>
      <c r="B48" s="3"/>
      <c r="C48" s="22"/>
      <c r="D48" s="23"/>
      <c r="E48" s="23"/>
      <c r="F48" s="23"/>
      <c r="G48" s="22"/>
      <c r="H48" s="22"/>
      <c r="I48" s="22"/>
    </row>
    <row r="49" spans="1:9">
      <c r="C49" s="3"/>
      <c r="E49" s="445" t="str">
        <f>E1</f>
        <v>Worksheet A4</v>
      </c>
      <c r="F49" s="3"/>
      <c r="H49" s="3"/>
      <c r="I49" s="3"/>
    </row>
    <row r="50" spans="1:9">
      <c r="A50" s="5"/>
      <c r="C50" s="3"/>
      <c r="D50" s="3"/>
      <c r="E50" s="13" t="str">
        <f>E2</f>
        <v>Rate Base Worksheet</v>
      </c>
      <c r="F50" s="3"/>
      <c r="H50" s="3"/>
      <c r="I50" s="3"/>
    </row>
    <row r="51" spans="1:9">
      <c r="A51" s="5"/>
      <c r="C51" s="3"/>
      <c r="E51" s="224" t="str">
        <f>E3</f>
        <v>Cheyenne Light, Fuel &amp; Power</v>
      </c>
      <c r="F51" s="3"/>
      <c r="H51" s="3"/>
      <c r="I51" s="188" t="s">
        <v>978</v>
      </c>
    </row>
    <row r="52" spans="1:9">
      <c r="A52" s="5"/>
      <c r="B52" s="3"/>
      <c r="C52" s="22"/>
      <c r="D52" s="23"/>
      <c r="E52" s="23"/>
      <c r="F52" s="23"/>
      <c r="G52" s="22"/>
      <c r="H52" s="22"/>
      <c r="I52" s="22"/>
    </row>
    <row r="53" spans="1:9">
      <c r="A53" s="5"/>
      <c r="B53" s="24"/>
      <c r="C53" s="792" t="s">
        <v>937</v>
      </c>
      <c r="D53" s="793"/>
      <c r="E53" s="793"/>
      <c r="F53" s="793"/>
      <c r="G53" s="793"/>
      <c r="H53" s="793"/>
      <c r="I53" s="794"/>
    </row>
    <row r="54" spans="1:9" ht="102" customHeight="1">
      <c r="A54" s="5" t="s">
        <v>320</v>
      </c>
      <c r="B54" s="13" t="s">
        <v>268</v>
      </c>
      <c r="C54" s="14" t="s">
        <v>337</v>
      </c>
      <c r="D54" s="14" t="s">
        <v>338</v>
      </c>
      <c r="E54" s="14" t="s">
        <v>339</v>
      </c>
      <c r="F54" s="14" t="s">
        <v>340</v>
      </c>
      <c r="G54" s="14" t="s">
        <v>341</v>
      </c>
      <c r="H54" s="14" t="s">
        <v>342</v>
      </c>
      <c r="I54" s="14" t="s">
        <v>1129</v>
      </c>
    </row>
    <row r="55" spans="1:9" s="16" customFormat="1">
      <c r="A55" s="5"/>
      <c r="B55" s="13" t="s">
        <v>157</v>
      </c>
      <c r="C55" s="14" t="s">
        <v>158</v>
      </c>
      <c r="D55" s="14" t="s">
        <v>159</v>
      </c>
      <c r="E55" s="14" t="s">
        <v>160</v>
      </c>
      <c r="F55" s="14" t="s">
        <v>161</v>
      </c>
      <c r="G55" s="14" t="s">
        <v>162</v>
      </c>
      <c r="H55" s="14" t="s">
        <v>163</v>
      </c>
      <c r="I55" s="14" t="s">
        <v>164</v>
      </c>
    </row>
    <row r="56" spans="1:9" s="16" customFormat="1">
      <c r="A56" s="5"/>
      <c r="B56" s="17" t="s">
        <v>328</v>
      </c>
      <c r="C56" s="10" t="s">
        <v>343</v>
      </c>
      <c r="D56" s="14" t="s">
        <v>344</v>
      </c>
      <c r="E56" s="14" t="s">
        <v>1132</v>
      </c>
      <c r="F56" s="14" t="s">
        <v>1132</v>
      </c>
      <c r="G56" s="14" t="s">
        <v>1132</v>
      </c>
      <c r="H56" s="14" t="s">
        <v>1132</v>
      </c>
      <c r="I56" s="14">
        <v>111.57</v>
      </c>
    </row>
    <row r="57" spans="1:9">
      <c r="A57" s="5">
        <v>1</v>
      </c>
      <c r="B57" s="18" t="s">
        <v>332</v>
      </c>
      <c r="C57" s="19">
        <v>0</v>
      </c>
      <c r="D57" s="19">
        <v>0</v>
      </c>
      <c r="E57" s="174">
        <f>'A3-ADIT'!D12</f>
        <v>0</v>
      </c>
      <c r="F57" s="174">
        <f>'A3-ADIT'!D13</f>
        <v>-67847487.618393347</v>
      </c>
      <c r="G57" s="174">
        <f>'A3-ADIT'!D14</f>
        <v>-5119768</v>
      </c>
      <c r="H57" s="174">
        <f>'A3-ADIT'!D15</f>
        <v>16680632</v>
      </c>
      <c r="I57" s="19">
        <v>1345521</v>
      </c>
    </row>
    <row r="58" spans="1:9">
      <c r="A58" s="5">
        <v>2</v>
      </c>
      <c r="B58" s="18" t="s">
        <v>165</v>
      </c>
      <c r="C58" s="19">
        <v>0</v>
      </c>
      <c r="D58" s="19">
        <v>0</v>
      </c>
      <c r="E58" s="25"/>
      <c r="F58" s="25"/>
      <c r="G58" s="25"/>
      <c r="H58" s="25"/>
      <c r="I58" s="19">
        <v>1303130</v>
      </c>
    </row>
    <row r="59" spans="1:9">
      <c r="A59" s="5">
        <v>3</v>
      </c>
      <c r="B59" s="3" t="s">
        <v>166</v>
      </c>
      <c r="C59" s="19">
        <v>0</v>
      </c>
      <c r="D59" s="19">
        <v>0</v>
      </c>
      <c r="E59" s="25"/>
      <c r="F59" s="25"/>
      <c r="G59" s="25"/>
      <c r="H59" s="25"/>
      <c r="I59" s="19">
        <v>1078137</v>
      </c>
    </row>
    <row r="60" spans="1:9">
      <c r="A60" s="5">
        <v>4</v>
      </c>
      <c r="B60" s="3" t="s">
        <v>333</v>
      </c>
      <c r="C60" s="19">
        <v>0</v>
      </c>
      <c r="D60" s="19">
        <v>0</v>
      </c>
      <c r="E60" s="25"/>
      <c r="F60" s="25"/>
      <c r="G60" s="25"/>
      <c r="H60" s="25"/>
      <c r="I60" s="19">
        <v>1204792</v>
      </c>
    </row>
    <row r="61" spans="1:9">
      <c r="A61" s="5">
        <v>5</v>
      </c>
      <c r="B61" s="3" t="s">
        <v>167</v>
      </c>
      <c r="C61" s="19">
        <v>0</v>
      </c>
      <c r="D61" s="19">
        <v>0</v>
      </c>
      <c r="E61" s="25"/>
      <c r="F61" s="25"/>
      <c r="G61" s="25"/>
      <c r="H61" s="25"/>
      <c r="I61" s="19">
        <v>1169063</v>
      </c>
    </row>
    <row r="62" spans="1:9">
      <c r="A62" s="5">
        <v>6</v>
      </c>
      <c r="B62" s="3" t="s">
        <v>168</v>
      </c>
      <c r="C62" s="19">
        <v>0</v>
      </c>
      <c r="D62" s="19">
        <v>0</v>
      </c>
      <c r="E62" s="25"/>
      <c r="F62" s="25"/>
      <c r="G62" s="25"/>
      <c r="H62" s="25"/>
      <c r="I62" s="19">
        <v>1070737</v>
      </c>
    </row>
    <row r="63" spans="1:9">
      <c r="A63" s="5">
        <v>7</v>
      </c>
      <c r="B63" s="3" t="s">
        <v>169</v>
      </c>
      <c r="C63" s="19">
        <v>0</v>
      </c>
      <c r="D63" s="19">
        <v>0</v>
      </c>
      <c r="E63" s="25"/>
      <c r="F63" s="25"/>
      <c r="G63" s="25"/>
      <c r="H63" s="25"/>
      <c r="I63" s="19">
        <v>1054960</v>
      </c>
    </row>
    <row r="64" spans="1:9">
      <c r="A64" s="5">
        <v>8</v>
      </c>
      <c r="B64" s="3" t="s">
        <v>170</v>
      </c>
      <c r="C64" s="19">
        <v>0</v>
      </c>
      <c r="D64" s="19">
        <v>0</v>
      </c>
      <c r="E64" s="25"/>
      <c r="F64" s="25"/>
      <c r="G64" s="25"/>
      <c r="H64" s="25"/>
      <c r="I64" s="19">
        <v>991672</v>
      </c>
    </row>
    <row r="65" spans="1:9">
      <c r="A65" s="5">
        <v>9</v>
      </c>
      <c r="B65" s="3" t="s">
        <v>334</v>
      </c>
      <c r="C65" s="19">
        <v>0</v>
      </c>
      <c r="D65" s="19">
        <v>0</v>
      </c>
      <c r="E65" s="25"/>
      <c r="F65" s="25"/>
      <c r="G65" s="25"/>
      <c r="H65" s="25"/>
      <c r="I65" s="19">
        <v>860178</v>
      </c>
    </row>
    <row r="66" spans="1:9">
      <c r="A66" s="5">
        <v>10</v>
      </c>
      <c r="B66" s="3" t="s">
        <v>171</v>
      </c>
      <c r="C66" s="19">
        <v>0</v>
      </c>
      <c r="D66" s="19">
        <v>0</v>
      </c>
      <c r="E66" s="25"/>
      <c r="F66" s="25"/>
      <c r="G66" s="25"/>
      <c r="H66" s="25"/>
      <c r="I66" s="19">
        <v>839025</v>
      </c>
    </row>
    <row r="67" spans="1:9">
      <c r="A67" s="5">
        <v>11</v>
      </c>
      <c r="B67" s="3" t="s">
        <v>172</v>
      </c>
      <c r="C67" s="19">
        <v>0</v>
      </c>
      <c r="D67" s="19">
        <v>0</v>
      </c>
      <c r="E67" s="25"/>
      <c r="F67" s="25"/>
      <c r="G67" s="25"/>
      <c r="H67" s="25"/>
      <c r="I67" s="19">
        <v>989324</v>
      </c>
    </row>
    <row r="68" spans="1:9">
      <c r="A68" s="5">
        <v>12</v>
      </c>
      <c r="B68" s="3" t="s">
        <v>173</v>
      </c>
      <c r="C68" s="19">
        <v>0</v>
      </c>
      <c r="D68" s="19">
        <v>0</v>
      </c>
      <c r="E68" s="25"/>
      <c r="F68" s="25"/>
      <c r="G68" s="25"/>
      <c r="H68" s="25"/>
      <c r="I68" s="19">
        <v>1972453</v>
      </c>
    </row>
    <row r="69" spans="1:9">
      <c r="A69" s="5">
        <v>13</v>
      </c>
      <c r="B69" s="3" t="s">
        <v>335</v>
      </c>
      <c r="C69" s="19">
        <v>0</v>
      </c>
      <c r="D69" s="19">
        <v>0</v>
      </c>
      <c r="E69" s="174">
        <v>0</v>
      </c>
      <c r="F69" s="174">
        <f>'A3-ADIT'!E13</f>
        <v>-74674604.139379382</v>
      </c>
      <c r="G69" s="174">
        <f>'A3-ADIT'!E14</f>
        <v>-2910131</v>
      </c>
      <c r="H69" s="174">
        <f>'A3-ADIT'!E15</f>
        <v>25144204</v>
      </c>
      <c r="I69" s="19">
        <v>1860099</v>
      </c>
    </row>
    <row r="70" spans="1:9" ht="13.8" thickBot="1">
      <c r="A70" s="5">
        <v>14</v>
      </c>
      <c r="B70" s="17" t="s">
        <v>345</v>
      </c>
      <c r="C70" s="21">
        <f>SUM(C57:C69)/13</f>
        <v>0</v>
      </c>
      <c r="D70" s="26">
        <f>SUM(D57:D69)/13</f>
        <v>0</v>
      </c>
      <c r="E70" s="430">
        <f>'A3-ADIT'!F12</f>
        <v>0</v>
      </c>
      <c r="F70" s="430">
        <f>'A3-ADIT'!F13</f>
        <v>-71261045.878886372</v>
      </c>
      <c r="G70" s="430">
        <f>'A3-ADIT'!F14</f>
        <v>-4014949.5</v>
      </c>
      <c r="H70" s="430">
        <f>'A3-ADIT'!F15</f>
        <v>20912418</v>
      </c>
      <c r="I70" s="682">
        <f t="shared" ref="I70" si="2">SUM(I57:I69)/13</f>
        <v>1210699.3076923077</v>
      </c>
    </row>
    <row r="71" spans="1:9" ht="13.8" thickTop="1">
      <c r="A71" s="5">
        <v>15</v>
      </c>
      <c r="B71" s="3" t="s">
        <v>1103</v>
      </c>
      <c r="I71" s="23"/>
    </row>
    <row r="72" spans="1:9" s="16" customFormat="1">
      <c r="A72" s="5"/>
      <c r="B72" s="27"/>
      <c r="C72" s="28"/>
      <c r="D72" s="28"/>
      <c r="E72" s="28"/>
      <c r="F72" s="28"/>
      <c r="G72" s="28"/>
      <c r="H72" s="2"/>
      <c r="I72" s="2"/>
    </row>
    <row r="73" spans="1:9" s="16" customFormat="1">
      <c r="A73" s="5"/>
      <c r="B73" s="27"/>
      <c r="C73" s="28"/>
      <c r="D73" s="28"/>
      <c r="E73" s="28"/>
      <c r="F73" s="28"/>
      <c r="G73" s="28"/>
      <c r="H73" s="2"/>
      <c r="I73" s="2"/>
    </row>
    <row r="74" spans="1:9" s="16" customFormat="1">
      <c r="A74" s="5"/>
      <c r="B74" s="186" t="s">
        <v>346</v>
      </c>
      <c r="C74" s="28"/>
      <c r="D74" s="28"/>
      <c r="E74" s="28"/>
      <c r="F74" s="28"/>
      <c r="G74" s="28"/>
      <c r="H74" s="2"/>
      <c r="I74" s="2"/>
    </row>
    <row r="75" spans="1:9" s="16" customFormat="1" ht="92.25" customHeight="1">
      <c r="A75" s="5">
        <f>+A70+1</f>
        <v>15</v>
      </c>
      <c r="B75" s="29" t="s">
        <v>347</v>
      </c>
      <c r="C75" s="30"/>
      <c r="D75" s="31" t="s">
        <v>1087</v>
      </c>
      <c r="E75" s="31" t="s">
        <v>800</v>
      </c>
      <c r="F75" s="31" t="s">
        <v>801</v>
      </c>
      <c r="G75" s="31" t="s">
        <v>348</v>
      </c>
      <c r="H75" s="32" t="s">
        <v>349</v>
      </c>
      <c r="I75" s="32" t="s">
        <v>350</v>
      </c>
    </row>
    <row r="76" spans="1:9" s="16" customFormat="1">
      <c r="A76" s="5">
        <v>16</v>
      </c>
      <c r="B76" s="2"/>
      <c r="C76" s="33" t="s">
        <v>351</v>
      </c>
      <c r="D76" s="34"/>
      <c r="E76" s="34"/>
      <c r="F76" s="34"/>
      <c r="G76" s="34"/>
      <c r="H76" s="34"/>
      <c r="I76" s="35">
        <f t="shared" ref="I76:I81" si="3">+H76*E76*D76*F76*G76</f>
        <v>0</v>
      </c>
    </row>
    <row r="77" spans="1:9" s="16" customFormat="1">
      <c r="A77" s="5">
        <v>17</v>
      </c>
      <c r="B77" s="2"/>
      <c r="C77" s="33" t="s">
        <v>352</v>
      </c>
      <c r="D77" s="36"/>
      <c r="E77" s="34"/>
      <c r="F77" s="34"/>
      <c r="G77" s="34"/>
      <c r="H77" s="34"/>
      <c r="I77" s="35">
        <f t="shared" si="3"/>
        <v>0</v>
      </c>
    </row>
    <row r="78" spans="1:9" s="16" customFormat="1">
      <c r="A78" s="5">
        <v>18</v>
      </c>
      <c r="B78" s="2"/>
      <c r="C78" s="33" t="s">
        <v>353</v>
      </c>
      <c r="D78" s="36"/>
      <c r="E78" s="34"/>
      <c r="F78" s="37"/>
      <c r="G78" s="37"/>
      <c r="H78" s="34"/>
      <c r="I78" s="35">
        <f t="shared" si="3"/>
        <v>0</v>
      </c>
    </row>
    <row r="79" spans="1:9" s="16" customFormat="1">
      <c r="A79" s="5">
        <v>19</v>
      </c>
      <c r="B79" s="2"/>
      <c r="C79" s="33" t="s">
        <v>354</v>
      </c>
      <c r="D79" s="36"/>
      <c r="E79" s="34"/>
      <c r="F79" s="37"/>
      <c r="G79" s="37"/>
      <c r="H79" s="34"/>
      <c r="I79" s="35">
        <f t="shared" si="3"/>
        <v>0</v>
      </c>
    </row>
    <row r="80" spans="1:9" s="16" customFormat="1">
      <c r="A80" s="5">
        <v>20</v>
      </c>
      <c r="B80" s="2"/>
      <c r="C80" s="33" t="s">
        <v>355</v>
      </c>
      <c r="D80" s="36"/>
      <c r="E80" s="34"/>
      <c r="F80" s="37"/>
      <c r="G80" s="37"/>
      <c r="H80" s="34"/>
      <c r="I80" s="35">
        <f t="shared" si="3"/>
        <v>0</v>
      </c>
    </row>
    <row r="81" spans="1:9" s="16" customFormat="1">
      <c r="A81" s="5">
        <v>21</v>
      </c>
      <c r="B81" s="2"/>
      <c r="C81" s="38" t="s">
        <v>355</v>
      </c>
      <c r="D81" s="39"/>
      <c r="E81" s="40"/>
      <c r="F81" s="41"/>
      <c r="G81" s="41"/>
      <c r="H81" s="40"/>
      <c r="I81" s="42">
        <f t="shared" si="3"/>
        <v>0</v>
      </c>
    </row>
    <row r="82" spans="1:9" s="16" customFormat="1">
      <c r="A82" s="5">
        <v>22</v>
      </c>
      <c r="B82" s="2"/>
      <c r="C82" s="29" t="s">
        <v>9</v>
      </c>
      <c r="D82" s="43">
        <f t="shared" ref="D82:I82" si="4">SUM(D76:D81)</f>
        <v>0</v>
      </c>
      <c r="E82" s="43">
        <f t="shared" si="4"/>
        <v>0</v>
      </c>
      <c r="F82" s="43">
        <f t="shared" si="4"/>
        <v>0</v>
      </c>
      <c r="G82" s="43">
        <f t="shared" si="4"/>
        <v>0</v>
      </c>
      <c r="H82" s="43">
        <f t="shared" si="4"/>
        <v>0</v>
      </c>
      <c r="I82" s="35">
        <f t="shared" si="4"/>
        <v>0</v>
      </c>
    </row>
    <row r="83" spans="1:9">
      <c r="C83" s="3"/>
      <c r="E83" s="445" t="str">
        <f>E1</f>
        <v>Worksheet A4</v>
      </c>
      <c r="F83" s="3"/>
      <c r="H83" s="3"/>
      <c r="I83" s="3"/>
    </row>
    <row r="84" spans="1:9">
      <c r="A84" s="5"/>
      <c r="C84" s="3"/>
      <c r="D84" s="3"/>
      <c r="E84" s="445" t="str">
        <f t="shared" ref="E84:E85" si="5">E2</f>
        <v>Rate Base Worksheet</v>
      </c>
      <c r="F84" s="3"/>
      <c r="H84" s="3"/>
      <c r="I84" s="3"/>
    </row>
    <row r="85" spans="1:9" ht="15">
      <c r="A85" s="5"/>
      <c r="C85" s="3"/>
      <c r="E85" s="445" t="str">
        <f t="shared" si="5"/>
        <v>Cheyenne Light, Fuel &amp; Power</v>
      </c>
      <c r="F85" s="3"/>
      <c r="H85"/>
      <c r="I85" s="188" t="s">
        <v>966</v>
      </c>
    </row>
    <row r="86" spans="1:9" ht="15">
      <c r="A86" s="5"/>
      <c r="B86" s="3"/>
      <c r="C86" s="22"/>
      <c r="D86" s="23"/>
      <c r="E86" s="23"/>
      <c r="F86" s="23"/>
      <c r="G86" s="22"/>
      <c r="H86"/>
      <c r="I86" s="22"/>
    </row>
    <row r="87" spans="1:9" ht="15">
      <c r="A87" s="5"/>
      <c r="B87" s="24"/>
      <c r="C87" s="792" t="s">
        <v>967</v>
      </c>
      <c r="D87" s="793"/>
      <c r="E87" s="793"/>
      <c r="F87" s="793"/>
      <c r="G87" s="688" t="s">
        <v>976</v>
      </c>
      <c r="H87"/>
      <c r="I87" s="22"/>
    </row>
    <row r="88" spans="1:9" ht="58.5" customHeight="1">
      <c r="A88" s="5" t="s">
        <v>320</v>
      </c>
      <c r="B88" s="13" t="s">
        <v>268</v>
      </c>
      <c r="C88" s="14" t="s">
        <v>969</v>
      </c>
      <c r="D88" s="14" t="s">
        <v>970</v>
      </c>
      <c r="E88" s="14" t="s">
        <v>971</v>
      </c>
      <c r="F88" s="14" t="s">
        <v>327</v>
      </c>
      <c r="G88" s="14"/>
      <c r="H88"/>
      <c r="I88" s="606"/>
    </row>
    <row r="89" spans="1:9" s="16" customFormat="1" ht="15">
      <c r="A89" s="5"/>
      <c r="B89" s="13" t="s">
        <v>157</v>
      </c>
      <c r="C89" s="14" t="s">
        <v>158</v>
      </c>
      <c r="D89" s="14" t="s">
        <v>159</v>
      </c>
      <c r="E89" s="14" t="s">
        <v>160</v>
      </c>
      <c r="F89" s="14" t="s">
        <v>161</v>
      </c>
      <c r="G89" s="186" t="s">
        <v>162</v>
      </c>
      <c r="H89"/>
      <c r="I89" s="341"/>
    </row>
    <row r="90" spans="1:9" s="16" customFormat="1" ht="30.75" customHeight="1">
      <c r="A90" s="5"/>
      <c r="B90" s="17" t="s">
        <v>328</v>
      </c>
      <c r="C90" s="13" t="s">
        <v>972</v>
      </c>
      <c r="D90" s="13" t="s">
        <v>973</v>
      </c>
      <c r="E90" s="13" t="s">
        <v>974</v>
      </c>
      <c r="F90" s="13" t="s">
        <v>975</v>
      </c>
      <c r="G90" s="14"/>
      <c r="H90"/>
      <c r="I90" s="10"/>
    </row>
    <row r="91" spans="1:9" ht="15">
      <c r="A91" s="5">
        <v>1</v>
      </c>
      <c r="B91" s="18" t="s">
        <v>332</v>
      </c>
      <c r="C91" s="19">
        <v>5371.1099298022282</v>
      </c>
      <c r="D91" s="19">
        <v>465071</v>
      </c>
      <c r="E91" s="19">
        <v>4227603.810095788</v>
      </c>
      <c r="F91" s="603">
        <f>SUM(C91:E91)</f>
        <v>4698045.9200255899</v>
      </c>
      <c r="G91" s="14"/>
      <c r="H91"/>
      <c r="I91" s="10"/>
    </row>
    <row r="92" spans="1:9" ht="15">
      <c r="A92" s="5">
        <v>2</v>
      </c>
      <c r="B92" s="18" t="s">
        <v>165</v>
      </c>
      <c r="C92" s="19">
        <v>2612.9443456752488</v>
      </c>
      <c r="D92" s="19">
        <v>599842</v>
      </c>
      <c r="E92" s="19">
        <v>4461348.6644545682</v>
      </c>
      <c r="F92" s="603">
        <f t="shared" ref="F92:F103" si="6">SUM(C92:E92)</f>
        <v>5063803.6088002436</v>
      </c>
      <c r="G92" s="14"/>
      <c r="H92"/>
      <c r="I92" s="10"/>
    </row>
    <row r="93" spans="1:9" ht="15">
      <c r="A93" s="5">
        <v>3</v>
      </c>
      <c r="B93" s="3" t="s">
        <v>166</v>
      </c>
      <c r="C93" s="19">
        <v>2613.4026511656025</v>
      </c>
      <c r="D93" s="19">
        <v>548167</v>
      </c>
      <c r="E93" s="19">
        <v>4462131.1765622934</v>
      </c>
      <c r="F93" s="603">
        <f t="shared" si="6"/>
        <v>5012911.579213459</v>
      </c>
      <c r="G93" s="14"/>
      <c r="H93"/>
      <c r="I93" s="10"/>
    </row>
    <row r="94" spans="1:9" ht="15">
      <c r="A94" s="5">
        <v>4</v>
      </c>
      <c r="B94" s="3" t="s">
        <v>333</v>
      </c>
      <c r="C94" s="19">
        <v>2511.3794253402962</v>
      </c>
      <c r="D94" s="19">
        <v>582730</v>
      </c>
      <c r="E94" s="19">
        <v>4287936.4283915469</v>
      </c>
      <c r="F94" s="603">
        <f t="shared" si="6"/>
        <v>4873177.8078168873</v>
      </c>
      <c r="G94" s="14"/>
      <c r="H94"/>
      <c r="I94" s="10"/>
    </row>
    <row r="95" spans="1:9" ht="15">
      <c r="A95" s="5">
        <v>5</v>
      </c>
      <c r="B95" s="3" t="s">
        <v>167</v>
      </c>
      <c r="C95" s="19">
        <v>2567.2530122182166</v>
      </c>
      <c r="D95" s="19">
        <v>660502</v>
      </c>
      <c r="E95" s="19">
        <v>4383335.1507595414</v>
      </c>
      <c r="F95" s="603">
        <f t="shared" si="6"/>
        <v>5046404.4037717599</v>
      </c>
      <c r="G95" s="14"/>
      <c r="H95"/>
      <c r="I95" s="10"/>
    </row>
    <row r="96" spans="1:9" ht="15">
      <c r="A96" s="5">
        <v>6</v>
      </c>
      <c r="B96" s="3" t="s">
        <v>168</v>
      </c>
      <c r="C96" s="19">
        <v>2562.6328765297967</v>
      </c>
      <c r="D96" s="19">
        <v>769752</v>
      </c>
      <c r="E96" s="19">
        <v>4375446.7178439125</v>
      </c>
      <c r="F96" s="603">
        <f t="shared" si="6"/>
        <v>5147761.3507204428</v>
      </c>
      <c r="G96" s="14"/>
      <c r="H96"/>
      <c r="I96" s="10"/>
    </row>
    <row r="97" spans="1:9" ht="15">
      <c r="A97" s="5">
        <v>7</v>
      </c>
      <c r="B97" s="3" t="s">
        <v>169</v>
      </c>
      <c r="C97" s="19">
        <v>2536.8792956183411</v>
      </c>
      <c r="D97" s="19">
        <v>809687</v>
      </c>
      <c r="E97" s="19">
        <v>4331474.9799864218</v>
      </c>
      <c r="F97" s="603">
        <f t="shared" si="6"/>
        <v>5143698.85928204</v>
      </c>
      <c r="G97" s="14"/>
      <c r="H97"/>
      <c r="I97" s="10"/>
    </row>
    <row r="98" spans="1:9" ht="15">
      <c r="A98" s="5">
        <v>8</v>
      </c>
      <c r="B98" s="3" t="s">
        <v>170</v>
      </c>
      <c r="C98" s="19">
        <v>2714.4855212970747</v>
      </c>
      <c r="D98" s="19">
        <v>874151</v>
      </c>
      <c r="E98" s="19">
        <v>4634720.3587263459</v>
      </c>
      <c r="F98" s="603">
        <f t="shared" si="6"/>
        <v>5511585.8442476429</v>
      </c>
      <c r="G98" s="14"/>
      <c r="H98"/>
      <c r="I98" s="10"/>
    </row>
    <row r="99" spans="1:9" ht="15">
      <c r="A99" s="5">
        <v>9</v>
      </c>
      <c r="B99" s="3" t="s">
        <v>334</v>
      </c>
      <c r="C99" s="19">
        <v>2704.9538079618555</v>
      </c>
      <c r="D99" s="19">
        <v>953301</v>
      </c>
      <c r="E99" s="19">
        <v>4618445.8840600848</v>
      </c>
      <c r="F99" s="603">
        <f t="shared" si="6"/>
        <v>5574451.8378680469</v>
      </c>
      <c r="G99" s="14"/>
      <c r="H99"/>
      <c r="I99" s="10"/>
    </row>
    <row r="100" spans="1:9" ht="15">
      <c r="A100" s="5">
        <v>10</v>
      </c>
      <c r="B100" s="3" t="s">
        <v>171</v>
      </c>
      <c r="C100" s="19">
        <v>2727.1505609549172</v>
      </c>
      <c r="D100" s="19">
        <v>1005063</v>
      </c>
      <c r="E100" s="19">
        <v>4656344.6837359089</v>
      </c>
      <c r="F100" s="603">
        <f t="shared" si="6"/>
        <v>5664134.8342968635</v>
      </c>
      <c r="G100" s="14"/>
      <c r="H100"/>
      <c r="I100" s="10"/>
    </row>
    <row r="101" spans="1:9" ht="15">
      <c r="A101" s="5">
        <v>11</v>
      </c>
      <c r="B101" s="3" t="s">
        <v>172</v>
      </c>
      <c r="C101" s="19">
        <v>2796.3618459392615</v>
      </c>
      <c r="D101" s="19">
        <v>1203542</v>
      </c>
      <c r="E101" s="19">
        <v>4774516.2300764006</v>
      </c>
      <c r="F101" s="603">
        <f t="shared" si="6"/>
        <v>5980854.59192234</v>
      </c>
      <c r="G101" s="14"/>
      <c r="H101"/>
      <c r="I101" s="10"/>
    </row>
    <row r="102" spans="1:9" ht="15">
      <c r="A102" s="5">
        <v>12</v>
      </c>
      <c r="B102" s="3" t="s">
        <v>173</v>
      </c>
      <c r="C102" s="19">
        <v>3000.6346855396864</v>
      </c>
      <c r="D102" s="19">
        <v>1042019</v>
      </c>
      <c r="E102" s="736">
        <v>5123292.2618522272</v>
      </c>
      <c r="F102" s="603">
        <f t="shared" si="6"/>
        <v>6168311.8965377668</v>
      </c>
      <c r="G102" s="14"/>
      <c r="H102"/>
      <c r="I102" s="10"/>
    </row>
    <row r="103" spans="1:9" ht="15">
      <c r="A103" s="5">
        <v>13</v>
      </c>
      <c r="B103" s="3" t="s">
        <v>335</v>
      </c>
      <c r="C103" s="19">
        <v>3030.5592042104076</v>
      </c>
      <c r="D103" s="19">
        <v>1010227</v>
      </c>
      <c r="E103" s="19">
        <v>5174385.4707937166</v>
      </c>
      <c r="F103" s="603">
        <f t="shared" si="6"/>
        <v>6187643.0299979271</v>
      </c>
      <c r="G103" s="14"/>
      <c r="H103"/>
      <c r="I103" s="10"/>
    </row>
    <row r="104" spans="1:9" ht="15">
      <c r="A104" s="5">
        <v>14</v>
      </c>
      <c r="B104" s="17" t="s">
        <v>345</v>
      </c>
      <c r="C104" s="602">
        <f>SUM(C91:C103)/13</f>
        <v>2903.826704788687</v>
      </c>
      <c r="D104" s="602">
        <f t="shared" ref="D104:E104" si="7">SUM(D91:D103)/13</f>
        <v>809542.61538461538</v>
      </c>
      <c r="E104" s="602">
        <f t="shared" si="7"/>
        <v>4577767.8321029814</v>
      </c>
      <c r="F104" s="602">
        <f>SUM(F91:F103)/13</f>
        <v>5390214.2741923863</v>
      </c>
      <c r="G104" s="14"/>
      <c r="H104"/>
      <c r="I104"/>
    </row>
    <row r="105" spans="1:9" ht="15">
      <c r="A105" s="5">
        <v>15</v>
      </c>
      <c r="B105" s="17" t="s">
        <v>10</v>
      </c>
      <c r="C105" s="600" t="s">
        <v>11</v>
      </c>
      <c r="D105" s="600" t="s">
        <v>100</v>
      </c>
      <c r="E105" s="600" t="s">
        <v>27</v>
      </c>
      <c r="F105" s="599"/>
      <c r="G105" s="14"/>
      <c r="H105"/>
      <c r="I105" s="10"/>
    </row>
    <row r="106" spans="1:9" ht="15">
      <c r="A106" s="5">
        <v>16</v>
      </c>
      <c r="B106" s="17" t="s">
        <v>1105</v>
      </c>
      <c r="C106" s="601">
        <f>'Act Att-H'!I174</f>
        <v>0.94993800079121415</v>
      </c>
      <c r="D106" s="601">
        <f>'Act Att-H'!I191</f>
        <v>7.0964263854582682E-2</v>
      </c>
      <c r="E106" s="601">
        <v>0</v>
      </c>
      <c r="F106" s="599"/>
      <c r="G106" s="14"/>
      <c r="H106"/>
      <c r="I106" s="10"/>
    </row>
    <row r="107" spans="1:9" ht="15.6" thickBot="1">
      <c r="A107" s="5">
        <v>17</v>
      </c>
      <c r="B107" s="17" t="s">
        <v>968</v>
      </c>
      <c r="C107" s="21">
        <f>C106*C104</f>
        <v>2758.4553345911045</v>
      </c>
      <c r="D107" s="21">
        <f t="shared" ref="D107:E107" si="8">D106*D104</f>
        <v>57448.595759682794</v>
      </c>
      <c r="E107" s="21">
        <f t="shared" si="8"/>
        <v>0</v>
      </c>
      <c r="F107" s="21">
        <f>C107+D107+E107</f>
        <v>60207.051094273898</v>
      </c>
      <c r="G107" s="14"/>
      <c r="H107"/>
      <c r="I107" s="10"/>
    </row>
    <row r="108" spans="1:9" s="16" customFormat="1" ht="15.6" thickTop="1">
      <c r="A108" s="5">
        <v>18</v>
      </c>
      <c r="B108" s="27"/>
      <c r="C108" s="28"/>
      <c r="D108" s="28"/>
      <c r="E108" s="28"/>
      <c r="F108" s="28"/>
      <c r="G108" s="46"/>
      <c r="H108"/>
      <c r="I108" s="2"/>
    </row>
    <row r="109" spans="1:9" s="16" customFormat="1" ht="15">
      <c r="A109" s="5">
        <v>19</v>
      </c>
      <c r="B109" s="659" t="s">
        <v>1183</v>
      </c>
      <c r="C109" s="659"/>
      <c r="D109" s="659"/>
      <c r="E109" s="28"/>
      <c r="F109" s="28"/>
      <c r="G109" s="34">
        <v>-318213.26582278463</v>
      </c>
      <c r="H109"/>
      <c r="I109" s="2"/>
    </row>
    <row r="110" spans="1:9" s="16" customFormat="1" ht="15">
      <c r="A110" s="5">
        <v>20</v>
      </c>
      <c r="B110" s="659" t="s">
        <v>1184</v>
      </c>
      <c r="C110" s="659"/>
      <c r="D110" s="659"/>
      <c r="E110" s="28"/>
      <c r="F110" s="28"/>
      <c r="G110" s="40">
        <v>1515301.2658227845</v>
      </c>
      <c r="H110"/>
      <c r="I110" s="2"/>
    </row>
    <row r="111" spans="1:9" s="16" customFormat="1" ht="15">
      <c r="A111" s="5">
        <v>21</v>
      </c>
      <c r="B111" s="659" t="s">
        <v>1107</v>
      </c>
      <c r="C111" s="28"/>
      <c r="D111" s="28"/>
      <c r="E111" s="110" t="s">
        <v>1137</v>
      </c>
      <c r="F111" s="28"/>
      <c r="G111" s="737">
        <f>SUM(G109:G110)</f>
        <v>1197088</v>
      </c>
      <c r="H111"/>
      <c r="I111" s="2"/>
    </row>
    <row r="112" spans="1:9" s="16" customFormat="1" ht="15">
      <c r="A112" s="5">
        <v>22</v>
      </c>
      <c r="B112" s="659" t="s">
        <v>1006</v>
      </c>
      <c r="C112" s="657" t="s">
        <v>982</v>
      </c>
      <c r="D112" s="28"/>
      <c r="E112" s="28"/>
      <c r="F112" s="28"/>
      <c r="G112" s="658">
        <v>7.9579999999999998E-2</v>
      </c>
      <c r="H112"/>
      <c r="I112" s="2"/>
    </row>
    <row r="113" spans="1:9" s="16" customFormat="1" ht="15">
      <c r="A113" s="5">
        <v>23</v>
      </c>
      <c r="B113" s="724" t="s">
        <v>1106</v>
      </c>
      <c r="C113" s="660"/>
      <c r="D113" s="661"/>
      <c r="E113" s="661"/>
      <c r="F113" s="661"/>
      <c r="G113" s="662">
        <f>G111*G112</f>
        <v>95264.263039999991</v>
      </c>
      <c r="H113"/>
      <c r="I113" s="2"/>
    </row>
    <row r="114" spans="1:9" s="16" customFormat="1" ht="15">
      <c r="A114" s="5"/>
      <c r="B114" s="27"/>
      <c r="C114" s="28"/>
      <c r="D114" s="28"/>
      <c r="E114" s="28"/>
      <c r="F114" s="28"/>
      <c r="H114"/>
      <c r="I114" s="2"/>
    </row>
    <row r="115" spans="1:9">
      <c r="A115" s="187" t="s">
        <v>205</v>
      </c>
    </row>
    <row r="116" spans="1:9" ht="15" customHeight="1">
      <c r="A116" s="49" t="s">
        <v>79</v>
      </c>
      <c r="B116" s="762" t="s">
        <v>356</v>
      </c>
      <c r="C116" s="762"/>
      <c r="D116" s="762"/>
      <c r="E116" s="762"/>
      <c r="F116" s="762"/>
      <c r="G116" s="762"/>
      <c r="H116" s="762"/>
      <c r="I116" s="762"/>
    </row>
    <row r="117" spans="1:9" ht="15" customHeight="1">
      <c r="A117" s="49" t="s">
        <v>80</v>
      </c>
      <c r="B117" s="762" t="s">
        <v>357</v>
      </c>
      <c r="C117" s="762"/>
      <c r="D117" s="762"/>
      <c r="E117" s="762"/>
      <c r="F117" s="762"/>
      <c r="G117" s="762"/>
      <c r="H117" s="762"/>
      <c r="I117" s="762"/>
    </row>
    <row r="118" spans="1:9" ht="58.5" customHeight="1">
      <c r="A118" s="49" t="s">
        <v>81</v>
      </c>
      <c r="B118" s="762" t="s">
        <v>939</v>
      </c>
      <c r="C118" s="762"/>
      <c r="D118" s="762"/>
      <c r="E118" s="762"/>
      <c r="F118" s="762"/>
      <c r="G118" s="762"/>
      <c r="H118" s="762"/>
      <c r="I118" s="762"/>
    </row>
    <row r="119" spans="1:9">
      <c r="A119" s="49" t="s">
        <v>82</v>
      </c>
      <c r="B119" s="762" t="s">
        <v>1131</v>
      </c>
      <c r="C119" s="762"/>
      <c r="D119" s="762"/>
      <c r="E119" s="762"/>
      <c r="F119" s="762"/>
      <c r="G119" s="762"/>
      <c r="H119" s="762"/>
      <c r="I119" s="762"/>
    </row>
    <row r="120" spans="1:9" ht="18.75" customHeight="1">
      <c r="A120" s="49" t="s">
        <v>83</v>
      </c>
      <c r="B120" s="788" t="s">
        <v>938</v>
      </c>
      <c r="C120" s="788"/>
      <c r="D120" s="788"/>
      <c r="E120" s="788"/>
      <c r="F120" s="788"/>
      <c r="G120" s="788"/>
      <c r="H120" s="788"/>
      <c r="I120" s="788"/>
    </row>
    <row r="121" spans="1:9" ht="15" customHeight="1">
      <c r="A121" s="49" t="s">
        <v>84</v>
      </c>
      <c r="B121" s="795" t="s">
        <v>358</v>
      </c>
      <c r="C121" s="795"/>
      <c r="D121" s="795"/>
      <c r="E121" s="795"/>
      <c r="F121" s="795"/>
      <c r="G121" s="795"/>
      <c r="H121" s="795"/>
      <c r="I121" s="795"/>
    </row>
    <row r="122" spans="1:9" ht="94.05" customHeight="1">
      <c r="A122" s="49" t="s">
        <v>85</v>
      </c>
      <c r="B122" s="788" t="s">
        <v>747</v>
      </c>
      <c r="C122" s="788"/>
      <c r="D122" s="788"/>
      <c r="E122" s="788"/>
      <c r="F122" s="788"/>
      <c r="G122" s="788"/>
      <c r="H122" s="788"/>
      <c r="I122" s="788"/>
    </row>
    <row r="123" spans="1:9" ht="36" customHeight="1">
      <c r="A123" s="49" t="s">
        <v>449</v>
      </c>
      <c r="B123" s="762" t="s">
        <v>1100</v>
      </c>
      <c r="C123" s="762"/>
      <c r="D123" s="762"/>
      <c r="E123" s="762"/>
      <c r="F123" s="762"/>
      <c r="G123" s="762"/>
      <c r="H123" s="762"/>
      <c r="I123" s="762"/>
    </row>
    <row r="124" spans="1:9" ht="32.25" customHeight="1">
      <c r="A124" s="49" t="s">
        <v>86</v>
      </c>
      <c r="B124" s="762" t="s">
        <v>1175</v>
      </c>
      <c r="C124" s="762"/>
      <c r="D124" s="762"/>
      <c r="E124" s="762"/>
      <c r="F124" s="762"/>
      <c r="G124" s="762"/>
      <c r="H124" s="762"/>
      <c r="I124" s="762"/>
    </row>
    <row r="125" spans="1:9" ht="27" customHeight="1">
      <c r="A125" s="49" t="s">
        <v>87</v>
      </c>
      <c r="B125" s="762" t="s">
        <v>1117</v>
      </c>
      <c r="C125" s="762"/>
      <c r="D125" s="762"/>
      <c r="E125" s="762"/>
      <c r="F125" s="762"/>
      <c r="G125" s="762"/>
      <c r="H125" s="762"/>
      <c r="I125" s="762"/>
    </row>
    <row r="126" spans="1:9">
      <c r="A126" s="49" t="s">
        <v>88</v>
      </c>
      <c r="B126" s="762" t="s">
        <v>1182</v>
      </c>
      <c r="C126" s="762"/>
      <c r="D126" s="762"/>
      <c r="E126" s="762"/>
      <c r="F126" s="762"/>
      <c r="G126" s="762"/>
      <c r="H126" s="762"/>
      <c r="I126" s="762"/>
    </row>
    <row r="127" spans="1:9">
      <c r="A127" s="49" t="s">
        <v>452</v>
      </c>
      <c r="B127" s="762" t="s">
        <v>1171</v>
      </c>
      <c r="C127" s="762"/>
      <c r="D127" s="762"/>
      <c r="E127" s="762"/>
      <c r="F127" s="762"/>
      <c r="G127" s="762"/>
      <c r="H127" s="762"/>
      <c r="I127" s="762"/>
    </row>
  </sheetData>
  <mergeCells count="16">
    <mergeCell ref="B122:I122"/>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H88"/>
  <sheetViews>
    <sheetView zoomScaleNormal="100" workbookViewId="0">
      <selection activeCell="C74" sqref="C74:H74"/>
    </sheetView>
  </sheetViews>
  <sheetFormatPr defaultColWidth="7.08984375" defaultRowHeight="13.2"/>
  <cols>
    <col min="1" max="1" width="2.08984375" style="204" customWidth="1"/>
    <col min="2" max="2" width="3.54296875" style="204" customWidth="1"/>
    <col min="3" max="4" width="1.7265625" style="204" customWidth="1"/>
    <col min="5" max="5" width="6.453125" style="204" customWidth="1"/>
    <col min="6" max="6" width="52.54296875" style="204" customWidth="1"/>
    <col min="7" max="7" width="1.7265625" style="204" customWidth="1"/>
    <col min="8" max="8" width="8.26953125" style="306" customWidth="1"/>
    <col min="9" max="9" width="8.26953125" style="204" customWidth="1"/>
    <col min="10" max="256" width="7.08984375" style="204"/>
    <col min="257" max="257" width="10.26953125" style="204" customWidth="1"/>
    <col min="258" max="258" width="3.54296875" style="204" customWidth="1"/>
    <col min="259" max="260" width="1.7265625" style="204" customWidth="1"/>
    <col min="261" max="261" width="4" style="204" customWidth="1"/>
    <col min="262" max="262" width="24.26953125" style="204" customWidth="1"/>
    <col min="263" max="263" width="1.7265625" style="204" customWidth="1"/>
    <col min="264" max="265" width="8.26953125" style="204" customWidth="1"/>
    <col min="266" max="512" width="7.08984375" style="204"/>
    <col min="513" max="513" width="10.26953125" style="204" customWidth="1"/>
    <col min="514" max="514" width="3.54296875" style="204" customWidth="1"/>
    <col min="515" max="516" width="1.7265625" style="204" customWidth="1"/>
    <col min="517" max="517" width="4" style="204" customWidth="1"/>
    <col min="518" max="518" width="24.26953125" style="204" customWidth="1"/>
    <col min="519" max="519" width="1.7265625" style="204" customWidth="1"/>
    <col min="520" max="521" width="8.26953125" style="204" customWidth="1"/>
    <col min="522" max="768" width="7.08984375" style="204"/>
    <col min="769" max="769" width="10.26953125" style="204" customWidth="1"/>
    <col min="770" max="770" width="3.54296875" style="204" customWidth="1"/>
    <col min="771" max="772" width="1.7265625" style="204" customWidth="1"/>
    <col min="773" max="773" width="4" style="204" customWidth="1"/>
    <col min="774" max="774" width="24.26953125" style="204" customWidth="1"/>
    <col min="775" max="775" width="1.7265625" style="204" customWidth="1"/>
    <col min="776" max="777" width="8.26953125" style="204" customWidth="1"/>
    <col min="778" max="1024" width="7.08984375" style="204"/>
    <col min="1025" max="1025" width="10.26953125" style="204" customWidth="1"/>
    <col min="1026" max="1026" width="3.54296875" style="204" customWidth="1"/>
    <col min="1027" max="1028" width="1.7265625" style="204" customWidth="1"/>
    <col min="1029" max="1029" width="4" style="204" customWidth="1"/>
    <col min="1030" max="1030" width="24.26953125" style="204" customWidth="1"/>
    <col min="1031" max="1031" width="1.7265625" style="204" customWidth="1"/>
    <col min="1032" max="1033" width="8.26953125" style="204" customWidth="1"/>
    <col min="1034" max="1280" width="7.08984375" style="204"/>
    <col min="1281" max="1281" width="10.26953125" style="204" customWidth="1"/>
    <col min="1282" max="1282" width="3.54296875" style="204" customWidth="1"/>
    <col min="1283" max="1284" width="1.7265625" style="204" customWidth="1"/>
    <col min="1285" max="1285" width="4" style="204" customWidth="1"/>
    <col min="1286" max="1286" width="24.26953125" style="204" customWidth="1"/>
    <col min="1287" max="1287" width="1.7265625" style="204" customWidth="1"/>
    <col min="1288" max="1289" width="8.26953125" style="204" customWidth="1"/>
    <col min="1290" max="1536" width="7.08984375" style="204"/>
    <col min="1537" max="1537" width="10.26953125" style="204" customWidth="1"/>
    <col min="1538" max="1538" width="3.54296875" style="204" customWidth="1"/>
    <col min="1539" max="1540" width="1.7265625" style="204" customWidth="1"/>
    <col min="1541" max="1541" width="4" style="204" customWidth="1"/>
    <col min="1542" max="1542" width="24.26953125" style="204" customWidth="1"/>
    <col min="1543" max="1543" width="1.7265625" style="204" customWidth="1"/>
    <col min="1544" max="1545" width="8.26953125" style="204" customWidth="1"/>
    <col min="1546" max="1792" width="7.08984375" style="204"/>
    <col min="1793" max="1793" width="10.26953125" style="204" customWidth="1"/>
    <col min="1794" max="1794" width="3.54296875" style="204" customWidth="1"/>
    <col min="1795" max="1796" width="1.7265625" style="204" customWidth="1"/>
    <col min="1797" max="1797" width="4" style="204" customWidth="1"/>
    <col min="1798" max="1798" width="24.26953125" style="204" customWidth="1"/>
    <col min="1799" max="1799" width="1.7265625" style="204" customWidth="1"/>
    <col min="1800" max="1801" width="8.26953125" style="204" customWidth="1"/>
    <col min="1802" max="2048" width="7.08984375" style="204"/>
    <col min="2049" max="2049" width="10.26953125" style="204" customWidth="1"/>
    <col min="2050" max="2050" width="3.54296875" style="204" customWidth="1"/>
    <col min="2051" max="2052" width="1.7265625" style="204" customWidth="1"/>
    <col min="2053" max="2053" width="4" style="204" customWidth="1"/>
    <col min="2054" max="2054" width="24.26953125" style="204" customWidth="1"/>
    <col min="2055" max="2055" width="1.7265625" style="204" customWidth="1"/>
    <col min="2056" max="2057" width="8.26953125" style="204" customWidth="1"/>
    <col min="2058" max="2304" width="7.08984375" style="204"/>
    <col min="2305" max="2305" width="10.26953125" style="204" customWidth="1"/>
    <col min="2306" max="2306" width="3.54296875" style="204" customWidth="1"/>
    <col min="2307" max="2308" width="1.7265625" style="204" customWidth="1"/>
    <col min="2309" max="2309" width="4" style="204" customWidth="1"/>
    <col min="2310" max="2310" width="24.26953125" style="204" customWidth="1"/>
    <col min="2311" max="2311" width="1.7265625" style="204" customWidth="1"/>
    <col min="2312" max="2313" width="8.26953125" style="204" customWidth="1"/>
    <col min="2314" max="2560" width="7.08984375" style="204"/>
    <col min="2561" max="2561" width="10.26953125" style="204" customWidth="1"/>
    <col min="2562" max="2562" width="3.54296875" style="204" customWidth="1"/>
    <col min="2563" max="2564" width="1.7265625" style="204" customWidth="1"/>
    <col min="2565" max="2565" width="4" style="204" customWidth="1"/>
    <col min="2566" max="2566" width="24.26953125" style="204" customWidth="1"/>
    <col min="2567" max="2567" width="1.7265625" style="204" customWidth="1"/>
    <col min="2568" max="2569" width="8.26953125" style="204" customWidth="1"/>
    <col min="2570" max="2816" width="7.08984375" style="204"/>
    <col min="2817" max="2817" width="10.26953125" style="204" customWidth="1"/>
    <col min="2818" max="2818" width="3.54296875" style="204" customWidth="1"/>
    <col min="2819" max="2820" width="1.7265625" style="204" customWidth="1"/>
    <col min="2821" max="2821" width="4" style="204" customWidth="1"/>
    <col min="2822" max="2822" width="24.26953125" style="204" customWidth="1"/>
    <col min="2823" max="2823" width="1.7265625" style="204" customWidth="1"/>
    <col min="2824" max="2825" width="8.26953125" style="204" customWidth="1"/>
    <col min="2826" max="3072" width="7.08984375" style="204"/>
    <col min="3073" max="3073" width="10.26953125" style="204" customWidth="1"/>
    <col min="3074" max="3074" width="3.54296875" style="204" customWidth="1"/>
    <col min="3075" max="3076" width="1.7265625" style="204" customWidth="1"/>
    <col min="3077" max="3077" width="4" style="204" customWidth="1"/>
    <col min="3078" max="3078" width="24.26953125" style="204" customWidth="1"/>
    <col min="3079" max="3079" width="1.7265625" style="204" customWidth="1"/>
    <col min="3080" max="3081" width="8.26953125" style="204" customWidth="1"/>
    <col min="3082" max="3328" width="7.08984375" style="204"/>
    <col min="3329" max="3329" width="10.26953125" style="204" customWidth="1"/>
    <col min="3330" max="3330" width="3.54296875" style="204" customWidth="1"/>
    <col min="3331" max="3332" width="1.7265625" style="204" customWidth="1"/>
    <col min="3333" max="3333" width="4" style="204" customWidth="1"/>
    <col min="3334" max="3334" width="24.26953125" style="204" customWidth="1"/>
    <col min="3335" max="3335" width="1.7265625" style="204" customWidth="1"/>
    <col min="3336" max="3337" width="8.26953125" style="204" customWidth="1"/>
    <col min="3338" max="3584" width="7.08984375" style="204"/>
    <col min="3585" max="3585" width="10.26953125" style="204" customWidth="1"/>
    <col min="3586" max="3586" width="3.54296875" style="204" customWidth="1"/>
    <col min="3587" max="3588" width="1.7265625" style="204" customWidth="1"/>
    <col min="3589" max="3589" width="4" style="204" customWidth="1"/>
    <col min="3590" max="3590" width="24.26953125" style="204" customWidth="1"/>
    <col min="3591" max="3591" width="1.7265625" style="204" customWidth="1"/>
    <col min="3592" max="3593" width="8.26953125" style="204" customWidth="1"/>
    <col min="3594" max="3840" width="7.08984375" style="204"/>
    <col min="3841" max="3841" width="10.26953125" style="204" customWidth="1"/>
    <col min="3842" max="3842" width="3.54296875" style="204" customWidth="1"/>
    <col min="3843" max="3844" width="1.7265625" style="204" customWidth="1"/>
    <col min="3845" max="3845" width="4" style="204" customWidth="1"/>
    <col min="3846" max="3846" width="24.26953125" style="204" customWidth="1"/>
    <col min="3847" max="3847" width="1.7265625" style="204" customWidth="1"/>
    <col min="3848" max="3849" width="8.26953125" style="204" customWidth="1"/>
    <col min="3850" max="4096" width="7.08984375" style="204"/>
    <col min="4097" max="4097" width="10.26953125" style="204" customWidth="1"/>
    <col min="4098" max="4098" width="3.54296875" style="204" customWidth="1"/>
    <col min="4099" max="4100" width="1.7265625" style="204" customWidth="1"/>
    <col min="4101" max="4101" width="4" style="204" customWidth="1"/>
    <col min="4102" max="4102" width="24.26953125" style="204" customWidth="1"/>
    <col min="4103" max="4103" width="1.7265625" style="204" customWidth="1"/>
    <col min="4104" max="4105" width="8.26953125" style="204" customWidth="1"/>
    <col min="4106" max="4352" width="7.08984375" style="204"/>
    <col min="4353" max="4353" width="10.26953125" style="204" customWidth="1"/>
    <col min="4354" max="4354" width="3.54296875" style="204" customWidth="1"/>
    <col min="4355" max="4356" width="1.7265625" style="204" customWidth="1"/>
    <col min="4357" max="4357" width="4" style="204" customWidth="1"/>
    <col min="4358" max="4358" width="24.26953125" style="204" customWidth="1"/>
    <col min="4359" max="4359" width="1.7265625" style="204" customWidth="1"/>
    <col min="4360" max="4361" width="8.26953125" style="204" customWidth="1"/>
    <col min="4362" max="4608" width="7.08984375" style="204"/>
    <col min="4609" max="4609" width="10.26953125" style="204" customWidth="1"/>
    <col min="4610" max="4610" width="3.54296875" style="204" customWidth="1"/>
    <col min="4611" max="4612" width="1.7265625" style="204" customWidth="1"/>
    <col min="4613" max="4613" width="4" style="204" customWidth="1"/>
    <col min="4614" max="4614" width="24.26953125" style="204" customWidth="1"/>
    <col min="4615" max="4615" width="1.7265625" style="204" customWidth="1"/>
    <col min="4616" max="4617" width="8.26953125" style="204" customWidth="1"/>
    <col min="4618" max="4864" width="7.08984375" style="204"/>
    <col min="4865" max="4865" width="10.26953125" style="204" customWidth="1"/>
    <col min="4866" max="4866" width="3.54296875" style="204" customWidth="1"/>
    <col min="4867" max="4868" width="1.7265625" style="204" customWidth="1"/>
    <col min="4869" max="4869" width="4" style="204" customWidth="1"/>
    <col min="4870" max="4870" width="24.26953125" style="204" customWidth="1"/>
    <col min="4871" max="4871" width="1.7265625" style="204" customWidth="1"/>
    <col min="4872" max="4873" width="8.26953125" style="204" customWidth="1"/>
    <col min="4874" max="5120" width="7.08984375" style="204"/>
    <col min="5121" max="5121" width="10.26953125" style="204" customWidth="1"/>
    <col min="5122" max="5122" width="3.54296875" style="204" customWidth="1"/>
    <col min="5123" max="5124" width="1.7265625" style="204" customWidth="1"/>
    <col min="5125" max="5125" width="4" style="204" customWidth="1"/>
    <col min="5126" max="5126" width="24.26953125" style="204" customWidth="1"/>
    <col min="5127" max="5127" width="1.7265625" style="204" customWidth="1"/>
    <col min="5128" max="5129" width="8.26953125" style="204" customWidth="1"/>
    <col min="5130" max="5376" width="7.08984375" style="204"/>
    <col min="5377" max="5377" width="10.26953125" style="204" customWidth="1"/>
    <col min="5378" max="5378" width="3.54296875" style="204" customWidth="1"/>
    <col min="5379" max="5380" width="1.7265625" style="204" customWidth="1"/>
    <col min="5381" max="5381" width="4" style="204" customWidth="1"/>
    <col min="5382" max="5382" width="24.26953125" style="204" customWidth="1"/>
    <col min="5383" max="5383" width="1.7265625" style="204" customWidth="1"/>
    <col min="5384" max="5385" width="8.26953125" style="204" customWidth="1"/>
    <col min="5386" max="5632" width="7.08984375" style="204"/>
    <col min="5633" max="5633" width="10.26953125" style="204" customWidth="1"/>
    <col min="5634" max="5634" width="3.54296875" style="204" customWidth="1"/>
    <col min="5635" max="5636" width="1.7265625" style="204" customWidth="1"/>
    <col min="5637" max="5637" width="4" style="204" customWidth="1"/>
    <col min="5638" max="5638" width="24.26953125" style="204" customWidth="1"/>
    <col min="5639" max="5639" width="1.7265625" style="204" customWidth="1"/>
    <col min="5640" max="5641" width="8.26953125" style="204" customWidth="1"/>
    <col min="5642" max="5888" width="7.08984375" style="204"/>
    <col min="5889" max="5889" width="10.26953125" style="204" customWidth="1"/>
    <col min="5890" max="5890" width="3.54296875" style="204" customWidth="1"/>
    <col min="5891" max="5892" width="1.7265625" style="204" customWidth="1"/>
    <col min="5893" max="5893" width="4" style="204" customWidth="1"/>
    <col min="5894" max="5894" width="24.26953125" style="204" customWidth="1"/>
    <col min="5895" max="5895" width="1.7265625" style="204" customWidth="1"/>
    <col min="5896" max="5897" width="8.26953125" style="204" customWidth="1"/>
    <col min="5898" max="6144" width="7.08984375" style="204"/>
    <col min="6145" max="6145" width="10.26953125" style="204" customWidth="1"/>
    <col min="6146" max="6146" width="3.54296875" style="204" customWidth="1"/>
    <col min="6147" max="6148" width="1.7265625" style="204" customWidth="1"/>
    <col min="6149" max="6149" width="4" style="204" customWidth="1"/>
    <col min="6150" max="6150" width="24.26953125" style="204" customWidth="1"/>
    <col min="6151" max="6151" width="1.7265625" style="204" customWidth="1"/>
    <col min="6152" max="6153" width="8.26953125" style="204" customWidth="1"/>
    <col min="6154" max="6400" width="7.08984375" style="204"/>
    <col min="6401" max="6401" width="10.26953125" style="204" customWidth="1"/>
    <col min="6402" max="6402" width="3.54296875" style="204" customWidth="1"/>
    <col min="6403" max="6404" width="1.7265625" style="204" customWidth="1"/>
    <col min="6405" max="6405" width="4" style="204" customWidth="1"/>
    <col min="6406" max="6406" width="24.26953125" style="204" customWidth="1"/>
    <col min="6407" max="6407" width="1.7265625" style="204" customWidth="1"/>
    <col min="6408" max="6409" width="8.26953125" style="204" customWidth="1"/>
    <col min="6410" max="6656" width="7.08984375" style="204"/>
    <col min="6657" max="6657" width="10.26953125" style="204" customWidth="1"/>
    <col min="6658" max="6658" width="3.54296875" style="204" customWidth="1"/>
    <col min="6659" max="6660" width="1.7265625" style="204" customWidth="1"/>
    <col min="6661" max="6661" width="4" style="204" customWidth="1"/>
    <col min="6662" max="6662" width="24.26953125" style="204" customWidth="1"/>
    <col min="6663" max="6663" width="1.7265625" style="204" customWidth="1"/>
    <col min="6664" max="6665" width="8.26953125" style="204" customWidth="1"/>
    <col min="6666" max="6912" width="7.08984375" style="204"/>
    <col min="6913" max="6913" width="10.26953125" style="204" customWidth="1"/>
    <col min="6914" max="6914" width="3.54296875" style="204" customWidth="1"/>
    <col min="6915" max="6916" width="1.7265625" style="204" customWidth="1"/>
    <col min="6917" max="6917" width="4" style="204" customWidth="1"/>
    <col min="6918" max="6918" width="24.26953125" style="204" customWidth="1"/>
    <col min="6919" max="6919" width="1.7265625" style="204" customWidth="1"/>
    <col min="6920" max="6921" width="8.26953125" style="204" customWidth="1"/>
    <col min="6922" max="7168" width="7.08984375" style="204"/>
    <col min="7169" max="7169" width="10.26953125" style="204" customWidth="1"/>
    <col min="7170" max="7170" width="3.54296875" style="204" customWidth="1"/>
    <col min="7171" max="7172" width="1.7265625" style="204" customWidth="1"/>
    <col min="7173" max="7173" width="4" style="204" customWidth="1"/>
    <col min="7174" max="7174" width="24.26953125" style="204" customWidth="1"/>
    <col min="7175" max="7175" width="1.7265625" style="204" customWidth="1"/>
    <col min="7176" max="7177" width="8.26953125" style="204" customWidth="1"/>
    <col min="7178" max="7424" width="7.08984375" style="204"/>
    <col min="7425" max="7425" width="10.26953125" style="204" customWidth="1"/>
    <col min="7426" max="7426" width="3.54296875" style="204" customWidth="1"/>
    <col min="7427" max="7428" width="1.7265625" style="204" customWidth="1"/>
    <col min="7429" max="7429" width="4" style="204" customWidth="1"/>
    <col min="7430" max="7430" width="24.26953125" style="204" customWidth="1"/>
    <col min="7431" max="7431" width="1.7265625" style="204" customWidth="1"/>
    <col min="7432" max="7433" width="8.26953125" style="204" customWidth="1"/>
    <col min="7434" max="7680" width="7.08984375" style="204"/>
    <col min="7681" max="7681" width="10.26953125" style="204" customWidth="1"/>
    <col min="7682" max="7682" width="3.54296875" style="204" customWidth="1"/>
    <col min="7683" max="7684" width="1.7265625" style="204" customWidth="1"/>
    <col min="7685" max="7685" width="4" style="204" customWidth="1"/>
    <col min="7686" max="7686" width="24.26953125" style="204" customWidth="1"/>
    <col min="7687" max="7687" width="1.7265625" style="204" customWidth="1"/>
    <col min="7688" max="7689" width="8.26953125" style="204" customWidth="1"/>
    <col min="7690" max="7936" width="7.08984375" style="204"/>
    <col min="7937" max="7937" width="10.26953125" style="204" customWidth="1"/>
    <col min="7938" max="7938" width="3.54296875" style="204" customWidth="1"/>
    <col min="7939" max="7940" width="1.7265625" style="204" customWidth="1"/>
    <col min="7941" max="7941" width="4" style="204" customWidth="1"/>
    <col min="7942" max="7942" width="24.26953125" style="204" customWidth="1"/>
    <col min="7943" max="7943" width="1.7265625" style="204" customWidth="1"/>
    <col min="7944" max="7945" width="8.26953125" style="204" customWidth="1"/>
    <col min="7946" max="8192" width="7.08984375" style="204"/>
    <col min="8193" max="8193" width="10.26953125" style="204" customWidth="1"/>
    <col min="8194" max="8194" width="3.54296875" style="204" customWidth="1"/>
    <col min="8195" max="8196" width="1.7265625" style="204" customWidth="1"/>
    <col min="8197" max="8197" width="4" style="204" customWidth="1"/>
    <col min="8198" max="8198" width="24.26953125" style="204" customWidth="1"/>
    <col min="8199" max="8199" width="1.7265625" style="204" customWidth="1"/>
    <col min="8200" max="8201" width="8.26953125" style="204" customWidth="1"/>
    <col min="8202" max="8448" width="7.08984375" style="204"/>
    <col min="8449" max="8449" width="10.26953125" style="204" customWidth="1"/>
    <col min="8450" max="8450" width="3.54296875" style="204" customWidth="1"/>
    <col min="8451" max="8452" width="1.7265625" style="204" customWidth="1"/>
    <col min="8453" max="8453" width="4" style="204" customWidth="1"/>
    <col min="8454" max="8454" width="24.26953125" style="204" customWidth="1"/>
    <col min="8455" max="8455" width="1.7265625" style="204" customWidth="1"/>
    <col min="8456" max="8457" width="8.26953125" style="204" customWidth="1"/>
    <col min="8458" max="8704" width="7.08984375" style="204"/>
    <col min="8705" max="8705" width="10.26953125" style="204" customWidth="1"/>
    <col min="8706" max="8706" width="3.54296875" style="204" customWidth="1"/>
    <col min="8707" max="8708" width="1.7265625" style="204" customWidth="1"/>
    <col min="8709" max="8709" width="4" style="204" customWidth="1"/>
    <col min="8710" max="8710" width="24.26953125" style="204" customWidth="1"/>
    <col min="8711" max="8711" width="1.7265625" style="204" customWidth="1"/>
    <col min="8712" max="8713" width="8.26953125" style="204" customWidth="1"/>
    <col min="8714" max="8960" width="7.08984375" style="204"/>
    <col min="8961" max="8961" width="10.26953125" style="204" customWidth="1"/>
    <col min="8962" max="8962" width="3.54296875" style="204" customWidth="1"/>
    <col min="8963" max="8964" width="1.7265625" style="204" customWidth="1"/>
    <col min="8965" max="8965" width="4" style="204" customWidth="1"/>
    <col min="8966" max="8966" width="24.26953125" style="204" customWidth="1"/>
    <col min="8967" max="8967" width="1.7265625" style="204" customWidth="1"/>
    <col min="8968" max="8969" width="8.26953125" style="204" customWidth="1"/>
    <col min="8970" max="9216" width="7.08984375" style="204"/>
    <col min="9217" max="9217" width="10.26953125" style="204" customWidth="1"/>
    <col min="9218" max="9218" width="3.54296875" style="204" customWidth="1"/>
    <col min="9219" max="9220" width="1.7265625" style="204" customWidth="1"/>
    <col min="9221" max="9221" width="4" style="204" customWidth="1"/>
    <col min="9222" max="9222" width="24.26953125" style="204" customWidth="1"/>
    <col min="9223" max="9223" width="1.7265625" style="204" customWidth="1"/>
    <col min="9224" max="9225" width="8.26953125" style="204" customWidth="1"/>
    <col min="9226" max="9472" width="7.08984375" style="204"/>
    <col min="9473" max="9473" width="10.26953125" style="204" customWidth="1"/>
    <col min="9474" max="9474" width="3.54296875" style="204" customWidth="1"/>
    <col min="9475" max="9476" width="1.7265625" style="204" customWidth="1"/>
    <col min="9477" max="9477" width="4" style="204" customWidth="1"/>
    <col min="9478" max="9478" width="24.26953125" style="204" customWidth="1"/>
    <col min="9479" max="9479" width="1.7265625" style="204" customWidth="1"/>
    <col min="9480" max="9481" width="8.26953125" style="204" customWidth="1"/>
    <col min="9482" max="9728" width="7.08984375" style="204"/>
    <col min="9729" max="9729" width="10.26953125" style="204" customWidth="1"/>
    <col min="9730" max="9730" width="3.54296875" style="204" customWidth="1"/>
    <col min="9731" max="9732" width="1.7265625" style="204" customWidth="1"/>
    <col min="9733" max="9733" width="4" style="204" customWidth="1"/>
    <col min="9734" max="9734" width="24.26953125" style="204" customWidth="1"/>
    <col min="9735" max="9735" width="1.7265625" style="204" customWidth="1"/>
    <col min="9736" max="9737" width="8.26953125" style="204" customWidth="1"/>
    <col min="9738" max="9984" width="7.08984375" style="204"/>
    <col min="9985" max="9985" width="10.26953125" style="204" customWidth="1"/>
    <col min="9986" max="9986" width="3.54296875" style="204" customWidth="1"/>
    <col min="9987" max="9988" width="1.7265625" style="204" customWidth="1"/>
    <col min="9989" max="9989" width="4" style="204" customWidth="1"/>
    <col min="9990" max="9990" width="24.26953125" style="204" customWidth="1"/>
    <col min="9991" max="9991" width="1.7265625" style="204" customWidth="1"/>
    <col min="9992" max="9993" width="8.26953125" style="204" customWidth="1"/>
    <col min="9994" max="10240" width="7.08984375" style="204"/>
    <col min="10241" max="10241" width="10.26953125" style="204" customWidth="1"/>
    <col min="10242" max="10242" width="3.54296875" style="204" customWidth="1"/>
    <col min="10243" max="10244" width="1.7265625" style="204" customWidth="1"/>
    <col min="10245" max="10245" width="4" style="204" customWidth="1"/>
    <col min="10246" max="10246" width="24.26953125" style="204" customWidth="1"/>
    <col min="10247" max="10247" width="1.7265625" style="204" customWidth="1"/>
    <col min="10248" max="10249" width="8.26953125" style="204" customWidth="1"/>
    <col min="10250" max="10496" width="7.08984375" style="204"/>
    <col min="10497" max="10497" width="10.26953125" style="204" customWidth="1"/>
    <col min="10498" max="10498" width="3.54296875" style="204" customWidth="1"/>
    <col min="10499" max="10500" width="1.7265625" style="204" customWidth="1"/>
    <col min="10501" max="10501" width="4" style="204" customWidth="1"/>
    <col min="10502" max="10502" width="24.26953125" style="204" customWidth="1"/>
    <col min="10503" max="10503" width="1.7265625" style="204" customWidth="1"/>
    <col min="10504" max="10505" width="8.26953125" style="204" customWidth="1"/>
    <col min="10506" max="10752" width="7.08984375" style="204"/>
    <col min="10753" max="10753" width="10.26953125" style="204" customWidth="1"/>
    <col min="10754" max="10754" width="3.54296875" style="204" customWidth="1"/>
    <col min="10755" max="10756" width="1.7265625" style="204" customWidth="1"/>
    <col min="10757" max="10757" width="4" style="204" customWidth="1"/>
    <col min="10758" max="10758" width="24.26953125" style="204" customWidth="1"/>
    <col min="10759" max="10759" width="1.7265625" style="204" customWidth="1"/>
    <col min="10760" max="10761" width="8.26953125" style="204" customWidth="1"/>
    <col min="10762" max="11008" width="7.08984375" style="204"/>
    <col min="11009" max="11009" width="10.26953125" style="204" customWidth="1"/>
    <col min="11010" max="11010" width="3.54296875" style="204" customWidth="1"/>
    <col min="11011" max="11012" width="1.7265625" style="204" customWidth="1"/>
    <col min="11013" max="11013" width="4" style="204" customWidth="1"/>
    <col min="11014" max="11014" width="24.26953125" style="204" customWidth="1"/>
    <col min="11015" max="11015" width="1.7265625" style="204" customWidth="1"/>
    <col min="11016" max="11017" width="8.26953125" style="204" customWidth="1"/>
    <col min="11018" max="11264" width="7.08984375" style="204"/>
    <col min="11265" max="11265" width="10.26953125" style="204" customWidth="1"/>
    <col min="11266" max="11266" width="3.54296875" style="204" customWidth="1"/>
    <col min="11267" max="11268" width="1.7265625" style="204" customWidth="1"/>
    <col min="11269" max="11269" width="4" style="204" customWidth="1"/>
    <col min="11270" max="11270" width="24.26953125" style="204" customWidth="1"/>
    <col min="11271" max="11271" width="1.7265625" style="204" customWidth="1"/>
    <col min="11272" max="11273" width="8.26953125" style="204" customWidth="1"/>
    <col min="11274" max="11520" width="7.08984375" style="204"/>
    <col min="11521" max="11521" width="10.26953125" style="204" customWidth="1"/>
    <col min="11522" max="11522" width="3.54296875" style="204" customWidth="1"/>
    <col min="11523" max="11524" width="1.7265625" style="204" customWidth="1"/>
    <col min="11525" max="11525" width="4" style="204" customWidth="1"/>
    <col min="11526" max="11526" width="24.26953125" style="204" customWidth="1"/>
    <col min="11527" max="11527" width="1.7265625" style="204" customWidth="1"/>
    <col min="11528" max="11529" width="8.26953125" style="204" customWidth="1"/>
    <col min="11530" max="11776" width="7.08984375" style="204"/>
    <col min="11777" max="11777" width="10.26953125" style="204" customWidth="1"/>
    <col min="11778" max="11778" width="3.54296875" style="204" customWidth="1"/>
    <col min="11779" max="11780" width="1.7265625" style="204" customWidth="1"/>
    <col min="11781" max="11781" width="4" style="204" customWidth="1"/>
    <col min="11782" max="11782" width="24.26953125" style="204" customWidth="1"/>
    <col min="11783" max="11783" width="1.7265625" style="204" customWidth="1"/>
    <col min="11784" max="11785" width="8.26953125" style="204" customWidth="1"/>
    <col min="11786" max="12032" width="7.08984375" style="204"/>
    <col min="12033" max="12033" width="10.26953125" style="204" customWidth="1"/>
    <col min="12034" max="12034" width="3.54296875" style="204" customWidth="1"/>
    <col min="12035" max="12036" width="1.7265625" style="204" customWidth="1"/>
    <col min="12037" max="12037" width="4" style="204" customWidth="1"/>
    <col min="12038" max="12038" width="24.26953125" style="204" customWidth="1"/>
    <col min="12039" max="12039" width="1.7265625" style="204" customWidth="1"/>
    <col min="12040" max="12041" width="8.26953125" style="204" customWidth="1"/>
    <col min="12042" max="12288" width="7.08984375" style="204"/>
    <col min="12289" max="12289" width="10.26953125" style="204" customWidth="1"/>
    <col min="12290" max="12290" width="3.54296875" style="204" customWidth="1"/>
    <col min="12291" max="12292" width="1.7265625" style="204" customWidth="1"/>
    <col min="12293" max="12293" width="4" style="204" customWidth="1"/>
    <col min="12294" max="12294" width="24.26953125" style="204" customWidth="1"/>
    <col min="12295" max="12295" width="1.7265625" style="204" customWidth="1"/>
    <col min="12296" max="12297" width="8.26953125" style="204" customWidth="1"/>
    <col min="12298" max="12544" width="7.08984375" style="204"/>
    <col min="12545" max="12545" width="10.26953125" style="204" customWidth="1"/>
    <col min="12546" max="12546" width="3.54296875" style="204" customWidth="1"/>
    <col min="12547" max="12548" width="1.7265625" style="204" customWidth="1"/>
    <col min="12549" max="12549" width="4" style="204" customWidth="1"/>
    <col min="12550" max="12550" width="24.26953125" style="204" customWidth="1"/>
    <col min="12551" max="12551" width="1.7265625" style="204" customWidth="1"/>
    <col min="12552" max="12553" width="8.26953125" style="204" customWidth="1"/>
    <col min="12554" max="12800" width="7.08984375" style="204"/>
    <col min="12801" max="12801" width="10.26953125" style="204" customWidth="1"/>
    <col min="12802" max="12802" width="3.54296875" style="204" customWidth="1"/>
    <col min="12803" max="12804" width="1.7265625" style="204" customWidth="1"/>
    <col min="12805" max="12805" width="4" style="204" customWidth="1"/>
    <col min="12806" max="12806" width="24.26953125" style="204" customWidth="1"/>
    <col min="12807" max="12807" width="1.7265625" style="204" customWidth="1"/>
    <col min="12808" max="12809" width="8.26953125" style="204" customWidth="1"/>
    <col min="12810" max="13056" width="7.08984375" style="204"/>
    <col min="13057" max="13057" width="10.26953125" style="204" customWidth="1"/>
    <col min="13058" max="13058" width="3.54296875" style="204" customWidth="1"/>
    <col min="13059" max="13060" width="1.7265625" style="204" customWidth="1"/>
    <col min="13061" max="13061" width="4" style="204" customWidth="1"/>
    <col min="13062" max="13062" width="24.26953125" style="204" customWidth="1"/>
    <col min="13063" max="13063" width="1.7265625" style="204" customWidth="1"/>
    <col min="13064" max="13065" width="8.26953125" style="204" customWidth="1"/>
    <col min="13066" max="13312" width="7.08984375" style="204"/>
    <col min="13313" max="13313" width="10.26953125" style="204" customWidth="1"/>
    <col min="13314" max="13314" width="3.54296875" style="204" customWidth="1"/>
    <col min="13315" max="13316" width="1.7265625" style="204" customWidth="1"/>
    <col min="13317" max="13317" width="4" style="204" customWidth="1"/>
    <col min="13318" max="13318" width="24.26953125" style="204" customWidth="1"/>
    <col min="13319" max="13319" width="1.7265625" style="204" customWidth="1"/>
    <col min="13320" max="13321" width="8.26953125" style="204" customWidth="1"/>
    <col min="13322" max="13568" width="7.08984375" style="204"/>
    <col min="13569" max="13569" width="10.26953125" style="204" customWidth="1"/>
    <col min="13570" max="13570" width="3.54296875" style="204" customWidth="1"/>
    <col min="13571" max="13572" width="1.7265625" style="204" customWidth="1"/>
    <col min="13573" max="13573" width="4" style="204" customWidth="1"/>
    <col min="13574" max="13574" width="24.26953125" style="204" customWidth="1"/>
    <col min="13575" max="13575" width="1.7265625" style="204" customWidth="1"/>
    <col min="13576" max="13577" width="8.26953125" style="204" customWidth="1"/>
    <col min="13578" max="13824" width="7.08984375" style="204"/>
    <col min="13825" max="13825" width="10.26953125" style="204" customWidth="1"/>
    <col min="13826" max="13826" width="3.54296875" style="204" customWidth="1"/>
    <col min="13827" max="13828" width="1.7265625" style="204" customWidth="1"/>
    <col min="13829" max="13829" width="4" style="204" customWidth="1"/>
    <col min="13830" max="13830" width="24.26953125" style="204" customWidth="1"/>
    <col min="13831" max="13831" width="1.7265625" style="204" customWidth="1"/>
    <col min="13832" max="13833" width="8.26953125" style="204" customWidth="1"/>
    <col min="13834" max="14080" width="7.08984375" style="204"/>
    <col min="14081" max="14081" width="10.26953125" style="204" customWidth="1"/>
    <col min="14082" max="14082" width="3.54296875" style="204" customWidth="1"/>
    <col min="14083" max="14084" width="1.7265625" style="204" customWidth="1"/>
    <col min="14085" max="14085" width="4" style="204" customWidth="1"/>
    <col min="14086" max="14086" width="24.26953125" style="204" customWidth="1"/>
    <col min="14087" max="14087" width="1.7265625" style="204" customWidth="1"/>
    <col min="14088" max="14089" width="8.26953125" style="204" customWidth="1"/>
    <col min="14090" max="14336" width="7.08984375" style="204"/>
    <col min="14337" max="14337" width="10.26953125" style="204" customWidth="1"/>
    <col min="14338" max="14338" width="3.54296875" style="204" customWidth="1"/>
    <col min="14339" max="14340" width="1.7265625" style="204" customWidth="1"/>
    <col min="14341" max="14341" width="4" style="204" customWidth="1"/>
    <col min="14342" max="14342" width="24.26953125" style="204" customWidth="1"/>
    <col min="14343" max="14343" width="1.7265625" style="204" customWidth="1"/>
    <col min="14344" max="14345" width="8.26953125" style="204" customWidth="1"/>
    <col min="14346" max="14592" width="7.08984375" style="204"/>
    <col min="14593" max="14593" width="10.26953125" style="204" customWidth="1"/>
    <col min="14594" max="14594" width="3.54296875" style="204" customWidth="1"/>
    <col min="14595" max="14596" width="1.7265625" style="204" customWidth="1"/>
    <col min="14597" max="14597" width="4" style="204" customWidth="1"/>
    <col min="14598" max="14598" width="24.26953125" style="204" customWidth="1"/>
    <col min="14599" max="14599" width="1.7265625" style="204" customWidth="1"/>
    <col min="14600" max="14601" width="8.26953125" style="204" customWidth="1"/>
    <col min="14602" max="14848" width="7.08984375" style="204"/>
    <col min="14849" max="14849" width="10.26953125" style="204" customWidth="1"/>
    <col min="14850" max="14850" width="3.54296875" style="204" customWidth="1"/>
    <col min="14851" max="14852" width="1.7265625" style="204" customWidth="1"/>
    <col min="14853" max="14853" width="4" style="204" customWidth="1"/>
    <col min="14854" max="14854" width="24.26953125" style="204" customWidth="1"/>
    <col min="14855" max="14855" width="1.7265625" style="204" customWidth="1"/>
    <col min="14856" max="14857" width="8.26953125" style="204" customWidth="1"/>
    <col min="14858" max="15104" width="7.08984375" style="204"/>
    <col min="15105" max="15105" width="10.26953125" style="204" customWidth="1"/>
    <col min="15106" max="15106" width="3.54296875" style="204" customWidth="1"/>
    <col min="15107" max="15108" width="1.7265625" style="204" customWidth="1"/>
    <col min="15109" max="15109" width="4" style="204" customWidth="1"/>
    <col min="15110" max="15110" width="24.26953125" style="204" customWidth="1"/>
    <col min="15111" max="15111" width="1.7265625" style="204" customWidth="1"/>
    <col min="15112" max="15113" width="8.26953125" style="204" customWidth="1"/>
    <col min="15114" max="15360" width="7.08984375" style="204"/>
    <col min="15361" max="15361" width="10.26953125" style="204" customWidth="1"/>
    <col min="15362" max="15362" width="3.54296875" style="204" customWidth="1"/>
    <col min="15363" max="15364" width="1.7265625" style="204" customWidth="1"/>
    <col min="15365" max="15365" width="4" style="204" customWidth="1"/>
    <col min="15366" max="15366" width="24.26953125" style="204" customWidth="1"/>
    <col min="15367" max="15367" width="1.7265625" style="204" customWidth="1"/>
    <col min="15368" max="15369" width="8.26953125" style="204" customWidth="1"/>
    <col min="15370" max="15616" width="7.08984375" style="204"/>
    <col min="15617" max="15617" width="10.26953125" style="204" customWidth="1"/>
    <col min="15618" max="15618" width="3.54296875" style="204" customWidth="1"/>
    <col min="15619" max="15620" width="1.7265625" style="204" customWidth="1"/>
    <col min="15621" max="15621" width="4" style="204" customWidth="1"/>
    <col min="15622" max="15622" width="24.26953125" style="204" customWidth="1"/>
    <col min="15623" max="15623" width="1.7265625" style="204" customWidth="1"/>
    <col min="15624" max="15625" width="8.26953125" style="204" customWidth="1"/>
    <col min="15626" max="15872" width="7.08984375" style="204"/>
    <col min="15873" max="15873" width="10.26953125" style="204" customWidth="1"/>
    <col min="15874" max="15874" width="3.54296875" style="204" customWidth="1"/>
    <col min="15875" max="15876" width="1.7265625" style="204" customWidth="1"/>
    <col min="15877" max="15877" width="4" style="204" customWidth="1"/>
    <col min="15878" max="15878" width="24.26953125" style="204" customWidth="1"/>
    <col min="15879" max="15879" width="1.7265625" style="204" customWidth="1"/>
    <col min="15880" max="15881" width="8.26953125" style="204" customWidth="1"/>
    <col min="15882" max="16128" width="7.08984375" style="204"/>
    <col min="16129" max="16129" width="10.26953125" style="204" customWidth="1"/>
    <col min="16130" max="16130" width="3.54296875" style="204" customWidth="1"/>
    <col min="16131" max="16132" width="1.7265625" style="204" customWidth="1"/>
    <col min="16133" max="16133" width="4" style="204" customWidth="1"/>
    <col min="16134" max="16134" width="24.26953125" style="204" customWidth="1"/>
    <col min="16135" max="16135" width="1.7265625" style="204" customWidth="1"/>
    <col min="16136" max="16137" width="8.26953125" style="204" customWidth="1"/>
    <col min="16138" max="16384" width="7.08984375" style="204"/>
  </cols>
  <sheetData>
    <row r="1" spans="1:8" ht="14.25" customHeight="1">
      <c r="A1" s="784" t="s">
        <v>535</v>
      </c>
      <c r="B1" s="784"/>
      <c r="C1" s="784"/>
      <c r="D1" s="784"/>
      <c r="E1" s="784"/>
      <c r="F1" s="784"/>
      <c r="G1" s="784"/>
      <c r="H1" s="784"/>
    </row>
    <row r="2" spans="1:8">
      <c r="A2" s="784" t="s">
        <v>151</v>
      </c>
      <c r="B2" s="784"/>
      <c r="C2" s="784"/>
      <c r="D2" s="784"/>
      <c r="E2" s="784"/>
      <c r="F2" s="784"/>
      <c r="G2" s="784"/>
      <c r="H2" s="784"/>
    </row>
    <row r="3" spans="1:8">
      <c r="A3" s="785" t="str">
        <f>'Act Att-H'!C7</f>
        <v>Cheyenne Light, Fuel &amp; Power</v>
      </c>
      <c r="B3" s="785"/>
      <c r="C3" s="785"/>
      <c r="D3" s="785"/>
      <c r="E3" s="785"/>
      <c r="F3" s="785"/>
      <c r="G3" s="785"/>
      <c r="H3" s="785"/>
    </row>
    <row r="4" spans="1:8">
      <c r="F4" s="2"/>
      <c r="H4" s="306" t="s">
        <v>673</v>
      </c>
    </row>
    <row r="5" spans="1:8">
      <c r="A5" s="784"/>
      <c r="B5" s="784"/>
      <c r="C5" s="784"/>
      <c r="D5" s="784"/>
      <c r="E5" s="784"/>
      <c r="F5" s="784"/>
      <c r="G5" s="784"/>
      <c r="H5" s="784"/>
    </row>
    <row r="6" spans="1:8">
      <c r="B6" s="206" t="s">
        <v>4</v>
      </c>
      <c r="H6" s="204"/>
    </row>
    <row r="7" spans="1:8">
      <c r="B7" s="209" t="s">
        <v>6</v>
      </c>
      <c r="D7" s="225" t="s">
        <v>140</v>
      </c>
      <c r="E7" s="225"/>
      <c r="F7" s="225"/>
      <c r="H7" s="725" t="s">
        <v>152</v>
      </c>
    </row>
    <row r="8" spans="1:8">
      <c r="B8" s="206">
        <v>1</v>
      </c>
    </row>
    <row r="9" spans="1:8">
      <c r="B9" s="206">
        <v>2</v>
      </c>
      <c r="D9" s="216" t="s">
        <v>1077</v>
      </c>
      <c r="E9" s="216"/>
    </row>
    <row r="10" spans="1:8">
      <c r="B10" s="206">
        <v>3</v>
      </c>
      <c r="E10" s="726">
        <v>350.03</v>
      </c>
      <c r="F10" s="227" t="s">
        <v>677</v>
      </c>
      <c r="H10" s="307">
        <v>1.0800000000000001E-2</v>
      </c>
    </row>
    <row r="11" spans="1:8">
      <c r="B11" s="206">
        <v>4</v>
      </c>
      <c r="E11" s="726">
        <v>352</v>
      </c>
      <c r="F11" s="204" t="s">
        <v>678</v>
      </c>
      <c r="H11" s="307">
        <v>1.04E-2</v>
      </c>
    </row>
    <row r="12" spans="1:8">
      <c r="B12" s="206">
        <v>5</v>
      </c>
      <c r="E12" s="726">
        <v>352.05</v>
      </c>
      <c r="F12" s="204" t="s">
        <v>679</v>
      </c>
      <c r="H12" s="307">
        <v>1.83E-2</v>
      </c>
    </row>
    <row r="13" spans="1:8">
      <c r="B13" s="206">
        <v>6</v>
      </c>
      <c r="E13" s="726">
        <v>353</v>
      </c>
      <c r="F13" s="204" t="s">
        <v>680</v>
      </c>
      <c r="H13" s="307">
        <v>2.1100000000000001E-2</v>
      </c>
    </row>
    <row r="14" spans="1:8">
      <c r="B14" s="206">
        <v>7</v>
      </c>
      <c r="E14" s="726">
        <v>354</v>
      </c>
      <c r="F14" s="204" t="s">
        <v>681</v>
      </c>
      <c r="H14" s="307">
        <v>1.2200000000000001E-2</v>
      </c>
    </row>
    <row r="15" spans="1:8">
      <c r="B15" s="206">
        <v>8</v>
      </c>
      <c r="E15" s="726">
        <v>355</v>
      </c>
      <c r="F15" s="227" t="s">
        <v>682</v>
      </c>
      <c r="H15" s="307">
        <v>2.7699999999999999E-2</v>
      </c>
    </row>
    <row r="16" spans="1:8">
      <c r="B16" s="206">
        <v>9</v>
      </c>
      <c r="E16" s="726">
        <v>356</v>
      </c>
      <c r="F16" s="204" t="s">
        <v>683</v>
      </c>
      <c r="H16" s="307">
        <v>1.95E-2</v>
      </c>
    </row>
    <row r="17" spans="2:8">
      <c r="B17" s="206">
        <v>10</v>
      </c>
      <c r="F17" s="309" t="s">
        <v>684</v>
      </c>
      <c r="H17" s="310">
        <v>0.02</v>
      </c>
    </row>
    <row r="18" spans="2:8">
      <c r="B18" s="206">
        <v>11</v>
      </c>
      <c r="H18" s="691"/>
    </row>
    <row r="19" spans="2:8">
      <c r="B19" s="206">
        <v>12</v>
      </c>
      <c r="D19" s="216" t="s">
        <v>1190</v>
      </c>
      <c r="H19" s="308"/>
    </row>
    <row r="20" spans="2:8">
      <c r="B20" s="206">
        <v>13</v>
      </c>
      <c r="E20" s="726">
        <v>390.01</v>
      </c>
      <c r="F20" s="227" t="s">
        <v>1141</v>
      </c>
      <c r="H20" s="307">
        <v>2.12E-2</v>
      </c>
    </row>
    <row r="21" spans="2:8">
      <c r="B21" s="206">
        <v>14</v>
      </c>
      <c r="E21" s="726">
        <v>391.01</v>
      </c>
      <c r="F21" s="204" t="s">
        <v>1142</v>
      </c>
      <c r="H21" s="307">
        <v>5.0999999999999997E-2</v>
      </c>
    </row>
    <row r="22" spans="2:8">
      <c r="B22" s="206">
        <v>15</v>
      </c>
      <c r="E22" s="726">
        <v>391.03</v>
      </c>
      <c r="F22" s="204" t="s">
        <v>1143</v>
      </c>
      <c r="H22" s="307">
        <v>0.18629999999999999</v>
      </c>
    </row>
    <row r="23" spans="2:8">
      <c r="B23" s="206">
        <v>16</v>
      </c>
      <c r="E23" s="726">
        <v>391.04</v>
      </c>
      <c r="F23" s="204" t="s">
        <v>1144</v>
      </c>
      <c r="H23" s="307">
        <v>0.13320000000000001</v>
      </c>
    </row>
    <row r="24" spans="2:8">
      <c r="B24" s="206">
        <v>17</v>
      </c>
      <c r="E24" s="727">
        <v>392</v>
      </c>
      <c r="F24" s="204" t="s">
        <v>1145</v>
      </c>
      <c r="H24" s="307">
        <v>6.08E-2</v>
      </c>
    </row>
    <row r="25" spans="2:8">
      <c r="B25" s="206">
        <v>18</v>
      </c>
      <c r="E25" s="726">
        <v>393</v>
      </c>
      <c r="F25" s="204" t="s">
        <v>1146</v>
      </c>
      <c r="H25" s="307">
        <v>5.0200000000000002E-2</v>
      </c>
    </row>
    <row r="26" spans="2:8">
      <c r="B26" s="206">
        <v>19</v>
      </c>
      <c r="E26" s="726">
        <v>394</v>
      </c>
      <c r="F26" s="204" t="s">
        <v>1147</v>
      </c>
      <c r="H26" s="307">
        <v>3.5099999999999999E-2</v>
      </c>
    </row>
    <row r="27" spans="2:8">
      <c r="B27" s="206">
        <v>20</v>
      </c>
      <c r="E27" s="726">
        <v>395</v>
      </c>
      <c r="F27" s="204" t="s">
        <v>1148</v>
      </c>
      <c r="H27" s="307">
        <v>2.7E-2</v>
      </c>
    </row>
    <row r="28" spans="2:8">
      <c r="B28" s="206">
        <v>21</v>
      </c>
      <c r="E28" s="726">
        <v>396</v>
      </c>
      <c r="F28" s="204" t="s">
        <v>1161</v>
      </c>
      <c r="H28" s="307">
        <v>5.5300000000000002E-2</v>
      </c>
    </row>
    <row r="29" spans="2:8">
      <c r="B29" s="206">
        <v>22</v>
      </c>
      <c r="E29" s="726">
        <v>397</v>
      </c>
      <c r="F29" s="204" t="s">
        <v>1162</v>
      </c>
      <c r="H29" s="307">
        <v>6.9599999999999995E-2</v>
      </c>
    </row>
    <row r="30" spans="2:8">
      <c r="B30" s="206">
        <v>23</v>
      </c>
      <c r="F30" s="309" t="s">
        <v>1149</v>
      </c>
      <c r="H30" s="728">
        <v>7.2599999999999998E-2</v>
      </c>
    </row>
    <row r="31" spans="2:8">
      <c r="B31" s="206">
        <v>24</v>
      </c>
      <c r="H31" s="691"/>
    </row>
    <row r="32" spans="2:8">
      <c r="B32" s="206">
        <v>25</v>
      </c>
      <c r="D32" s="216" t="s">
        <v>1191</v>
      </c>
      <c r="H32" s="308"/>
    </row>
    <row r="33" spans="2:8">
      <c r="B33" s="206">
        <v>26</v>
      </c>
      <c r="E33" s="726">
        <v>390.01</v>
      </c>
      <c r="F33" s="227" t="s">
        <v>1141</v>
      </c>
      <c r="H33" s="307">
        <v>1.12E-2</v>
      </c>
    </row>
    <row r="34" spans="2:8">
      <c r="B34" s="206">
        <v>27</v>
      </c>
      <c r="E34" s="726">
        <v>390.05</v>
      </c>
      <c r="F34" s="227" t="s">
        <v>1192</v>
      </c>
      <c r="H34" s="307">
        <v>1.38E-2</v>
      </c>
    </row>
    <row r="35" spans="2:8">
      <c r="B35" s="206">
        <v>28</v>
      </c>
      <c r="E35" s="726">
        <v>391.01</v>
      </c>
      <c r="F35" s="204" t="s">
        <v>1142</v>
      </c>
      <c r="H35" s="307">
        <v>3.4599999999999999E-2</v>
      </c>
    </row>
    <row r="36" spans="2:8">
      <c r="B36" s="206">
        <v>29</v>
      </c>
      <c r="E36" s="726">
        <v>391.03</v>
      </c>
      <c r="F36" s="204" t="s">
        <v>1143</v>
      </c>
      <c r="H36" s="307">
        <v>0.16400000000000001</v>
      </c>
    </row>
    <row r="37" spans="2:8">
      <c r="B37" s="206">
        <v>30</v>
      </c>
      <c r="E37" s="726">
        <v>391.04</v>
      </c>
      <c r="F37" s="204" t="s">
        <v>1144</v>
      </c>
      <c r="H37" s="307">
        <v>0</v>
      </c>
    </row>
    <row r="38" spans="2:8">
      <c r="B38" s="206">
        <v>31</v>
      </c>
      <c r="E38" s="726">
        <v>391.05</v>
      </c>
      <c r="F38" s="204" t="s">
        <v>1193</v>
      </c>
      <c r="H38" s="307">
        <v>0.1464</v>
      </c>
    </row>
    <row r="39" spans="2:8">
      <c r="B39" s="206">
        <v>32</v>
      </c>
      <c r="E39" s="727">
        <v>392</v>
      </c>
      <c r="F39" s="204" t="s">
        <v>1145</v>
      </c>
      <c r="H39" s="307">
        <v>7.8899999999999998E-2</v>
      </c>
    </row>
    <row r="40" spans="2:8">
      <c r="B40" s="206">
        <v>33</v>
      </c>
      <c r="E40" s="726">
        <v>393</v>
      </c>
      <c r="F40" s="204" t="s">
        <v>1146</v>
      </c>
      <c r="H40" s="307">
        <v>4.8500000000000001E-2</v>
      </c>
    </row>
    <row r="41" spans="2:8">
      <c r="B41" s="206">
        <v>34</v>
      </c>
      <c r="E41" s="726">
        <v>394</v>
      </c>
      <c r="F41" s="204" t="s">
        <v>1147</v>
      </c>
      <c r="H41" s="307">
        <v>3.4099999999999998E-2</v>
      </c>
    </row>
    <row r="42" spans="2:8">
      <c r="B42" s="206">
        <v>35</v>
      </c>
      <c r="E42" s="726">
        <v>395</v>
      </c>
      <c r="F42" s="204" t="s">
        <v>1148</v>
      </c>
      <c r="H42" s="307">
        <v>3.9699999999999999E-2</v>
      </c>
    </row>
    <row r="43" spans="2:8">
      <c r="B43" s="206">
        <v>36</v>
      </c>
      <c r="E43" s="726">
        <v>396</v>
      </c>
      <c r="F43" s="204" t="s">
        <v>1161</v>
      </c>
      <c r="H43" s="307">
        <v>4.6699999999999998E-2</v>
      </c>
    </row>
    <row r="44" spans="2:8">
      <c r="B44" s="206">
        <v>37</v>
      </c>
      <c r="E44" s="726">
        <v>397</v>
      </c>
      <c r="F44" s="204" t="s">
        <v>1162</v>
      </c>
      <c r="H44" s="307">
        <v>1.83E-2</v>
      </c>
    </row>
    <row r="45" spans="2:8">
      <c r="B45" s="206">
        <v>38</v>
      </c>
      <c r="E45" s="726">
        <v>397.01</v>
      </c>
      <c r="F45" s="204" t="s">
        <v>1194</v>
      </c>
      <c r="H45" s="307">
        <v>5.0200000000000002E-2</v>
      </c>
    </row>
    <row r="46" spans="2:8">
      <c r="B46" s="206">
        <v>39</v>
      </c>
      <c r="E46" s="726">
        <v>398</v>
      </c>
      <c r="F46" s="204" t="s">
        <v>1159</v>
      </c>
      <c r="H46" s="307">
        <v>3.0300000000000001E-2</v>
      </c>
    </row>
    <row r="47" spans="2:8">
      <c r="B47" s="206">
        <v>40</v>
      </c>
      <c r="F47" s="309" t="s">
        <v>1149</v>
      </c>
      <c r="H47" s="728">
        <v>3.0300000000000001E-2</v>
      </c>
    </row>
    <row r="48" spans="2:8">
      <c r="B48" s="206">
        <v>41</v>
      </c>
      <c r="D48" s="216" t="s">
        <v>1150</v>
      </c>
      <c r="H48" s="691"/>
    </row>
    <row r="49" spans="2:8">
      <c r="B49" s="206">
        <v>42</v>
      </c>
      <c r="E49" s="726">
        <v>301</v>
      </c>
      <c r="F49" s="227" t="s">
        <v>1152</v>
      </c>
      <c r="H49" s="691">
        <v>0.04</v>
      </c>
    </row>
    <row r="50" spans="2:8">
      <c r="B50" s="206">
        <v>43</v>
      </c>
      <c r="E50" s="726">
        <v>302</v>
      </c>
      <c r="F50" s="227" t="s">
        <v>1153</v>
      </c>
      <c r="H50" s="691">
        <v>0.04</v>
      </c>
    </row>
    <row r="51" spans="2:8">
      <c r="B51" s="206">
        <v>44</v>
      </c>
      <c r="E51" s="726">
        <v>303</v>
      </c>
      <c r="F51" s="227" t="s">
        <v>1151</v>
      </c>
      <c r="H51" s="691">
        <v>0.04</v>
      </c>
    </row>
    <row r="52" spans="2:8">
      <c r="B52" s="206">
        <v>45</v>
      </c>
      <c r="F52" s="309" t="s">
        <v>1154</v>
      </c>
      <c r="H52" s="310">
        <v>0.04</v>
      </c>
    </row>
    <row r="53" spans="2:8">
      <c r="B53" s="206">
        <v>46</v>
      </c>
      <c r="H53" s="691"/>
    </row>
    <row r="54" spans="2:8">
      <c r="B54" s="206">
        <v>47</v>
      </c>
      <c r="D54" s="216" t="s">
        <v>1172</v>
      </c>
      <c r="H54" s="691"/>
    </row>
    <row r="55" spans="2:8">
      <c r="B55" s="206">
        <v>48</v>
      </c>
      <c r="E55" s="216" t="s">
        <v>1157</v>
      </c>
      <c r="H55" s="691"/>
    </row>
    <row r="56" spans="2:8">
      <c r="B56" s="206">
        <v>49</v>
      </c>
      <c r="E56" s="726">
        <v>390.01</v>
      </c>
      <c r="F56" s="227" t="s">
        <v>1141</v>
      </c>
      <c r="H56" s="691">
        <v>1.9900000000000001E-2</v>
      </c>
    </row>
    <row r="57" spans="2:8">
      <c r="B57" s="206">
        <v>50</v>
      </c>
      <c r="E57" s="726">
        <v>391</v>
      </c>
      <c r="F57" s="204" t="s">
        <v>1142</v>
      </c>
      <c r="H57" s="691">
        <v>0.1245</v>
      </c>
    </row>
    <row r="58" spans="2:8">
      <c r="B58" s="206">
        <v>51</v>
      </c>
      <c r="E58" s="727">
        <v>392</v>
      </c>
      <c r="F58" s="204" t="s">
        <v>1145</v>
      </c>
      <c r="H58" s="691">
        <v>8.6400000000000005E-2</v>
      </c>
    </row>
    <row r="59" spans="2:8">
      <c r="B59" s="206">
        <v>52</v>
      </c>
      <c r="E59" s="726">
        <v>395</v>
      </c>
      <c r="F59" s="204" t="s">
        <v>1148</v>
      </c>
      <c r="H59" s="691">
        <v>0.05</v>
      </c>
    </row>
    <row r="60" spans="2:8">
      <c r="B60" s="206">
        <v>53</v>
      </c>
      <c r="E60" s="726">
        <v>397</v>
      </c>
      <c r="F60" s="204" t="s">
        <v>1155</v>
      </c>
      <c r="H60" s="691">
        <v>6.6699999999999995E-2</v>
      </c>
    </row>
    <row r="61" spans="2:8">
      <c r="B61" s="206">
        <v>54</v>
      </c>
      <c r="E61" s="726">
        <v>397.1</v>
      </c>
      <c r="F61" s="204" t="s">
        <v>1156</v>
      </c>
      <c r="H61" s="691">
        <v>0.04</v>
      </c>
    </row>
    <row r="62" spans="2:8">
      <c r="B62" s="206">
        <v>55</v>
      </c>
      <c r="F62" s="309" t="s">
        <v>1149</v>
      </c>
      <c r="H62" s="728">
        <v>0.1206</v>
      </c>
    </row>
    <row r="63" spans="2:8">
      <c r="B63" s="206">
        <v>56</v>
      </c>
      <c r="H63" s="729"/>
    </row>
    <row r="64" spans="2:8">
      <c r="B64" s="206">
        <v>57</v>
      </c>
      <c r="E64" s="216" t="s">
        <v>1158</v>
      </c>
      <c r="H64" s="729"/>
    </row>
    <row r="65" spans="2:8">
      <c r="B65" s="206">
        <v>58</v>
      </c>
      <c r="E65" s="726">
        <v>390.01</v>
      </c>
      <c r="F65" s="227" t="s">
        <v>1197</v>
      </c>
      <c r="H65" s="729">
        <v>2.2499999999999999E-2</v>
      </c>
    </row>
    <row r="66" spans="2:8">
      <c r="B66" s="206">
        <v>59</v>
      </c>
      <c r="E66" s="726">
        <v>391</v>
      </c>
      <c r="F66" s="204" t="s">
        <v>1142</v>
      </c>
      <c r="H66" s="729">
        <v>8.1100000000000005E-2</v>
      </c>
    </row>
    <row r="67" spans="2:8">
      <c r="B67" s="206">
        <v>60</v>
      </c>
      <c r="E67" s="726">
        <v>392</v>
      </c>
      <c r="F67" s="204" t="s">
        <v>1196</v>
      </c>
      <c r="H67" s="729">
        <v>9.8299999999999998E-2</v>
      </c>
    </row>
    <row r="68" spans="2:8">
      <c r="B68" s="206">
        <v>61</v>
      </c>
      <c r="E68" s="726">
        <v>394</v>
      </c>
      <c r="F68" s="204" t="s">
        <v>1147</v>
      </c>
      <c r="H68" s="729">
        <v>0.04</v>
      </c>
    </row>
    <row r="69" spans="2:8">
      <c r="B69" s="206">
        <v>62</v>
      </c>
      <c r="E69" s="726">
        <v>397</v>
      </c>
      <c r="F69" s="204" t="s">
        <v>1160</v>
      </c>
      <c r="H69" s="729">
        <v>6.6699999999999995E-2</v>
      </c>
    </row>
    <row r="70" spans="2:8">
      <c r="B70" s="206">
        <v>63</v>
      </c>
      <c r="E70" s="726">
        <v>398</v>
      </c>
      <c r="F70" s="204" t="s">
        <v>1159</v>
      </c>
      <c r="H70" s="729">
        <v>0.05</v>
      </c>
    </row>
    <row r="71" spans="2:8">
      <c r="B71" s="206">
        <v>64</v>
      </c>
      <c r="F71" s="309" t="s">
        <v>1149</v>
      </c>
      <c r="H71" s="728">
        <v>7.9399999999999998E-2</v>
      </c>
    </row>
    <row r="72" spans="2:8">
      <c r="B72" s="206"/>
      <c r="H72" s="691"/>
    </row>
    <row r="73" spans="2:8" ht="16.350000000000001" customHeight="1">
      <c r="B73" s="381" t="s">
        <v>174</v>
      </c>
      <c r="D73" s="216"/>
      <c r="H73" s="308"/>
    </row>
    <row r="74" spans="2:8" ht="27.75" customHeight="1">
      <c r="B74" s="421" t="s">
        <v>79</v>
      </c>
      <c r="C74" s="796" t="s">
        <v>1195</v>
      </c>
      <c r="D74" s="796"/>
      <c r="E74" s="796"/>
      <c r="F74" s="796"/>
      <c r="G74" s="796"/>
      <c r="H74" s="796"/>
    </row>
    <row r="75" spans="2:8" ht="16.350000000000001" customHeight="1">
      <c r="B75" s="206"/>
      <c r="D75" s="216"/>
      <c r="H75" s="308"/>
    </row>
    <row r="76" spans="2:8" ht="16.350000000000001" customHeight="1">
      <c r="B76" s="206"/>
      <c r="D76" s="216"/>
      <c r="H76" s="308"/>
    </row>
    <row r="77" spans="2:8" ht="16.350000000000001" customHeight="1">
      <c r="B77" s="206"/>
      <c r="D77" s="216"/>
      <c r="H77" s="308"/>
    </row>
    <row r="78" spans="2:8" ht="16.350000000000001" customHeight="1">
      <c r="B78" s="206"/>
      <c r="D78" s="216"/>
      <c r="H78" s="308"/>
    </row>
    <row r="79" spans="2:8" ht="16.350000000000001" customHeight="1">
      <c r="B79" s="206"/>
      <c r="D79" s="216"/>
      <c r="H79" s="308"/>
    </row>
    <row r="80" spans="2:8" ht="16.350000000000001" customHeight="1">
      <c r="B80" s="206"/>
      <c r="D80" s="216"/>
      <c r="H80" s="308"/>
    </row>
    <row r="81" spans="2:8" ht="16.350000000000001" customHeight="1">
      <c r="B81" s="206"/>
      <c r="D81" s="216"/>
      <c r="H81" s="308"/>
    </row>
    <row r="82" spans="2:8" ht="16.350000000000001" customHeight="1">
      <c r="B82" s="206"/>
      <c r="D82" s="216"/>
      <c r="H82" s="308"/>
    </row>
    <row r="83" spans="2:8" ht="16.350000000000001" customHeight="1">
      <c r="B83" s="206"/>
      <c r="D83" s="216"/>
      <c r="H83" s="308"/>
    </row>
    <row r="84" spans="2:8" ht="16.350000000000001" customHeight="1">
      <c r="B84" s="206"/>
      <c r="D84" s="216"/>
      <c r="H84" s="308"/>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H34"/>
  <sheetViews>
    <sheetView workbookViewId="0">
      <selection activeCell="E21" sqref="E21"/>
    </sheetView>
  </sheetViews>
  <sheetFormatPr defaultColWidth="7.08984375" defaultRowHeight="13.2"/>
  <cols>
    <col min="1" max="1" width="2.08984375" style="204" customWidth="1"/>
    <col min="2" max="2" width="4.7265625" style="204" customWidth="1"/>
    <col min="3" max="3" width="11.26953125" style="204" customWidth="1"/>
    <col min="4" max="4" width="9.453125" style="204" bestFit="1" customWidth="1"/>
    <col min="5" max="5" width="11.26953125" style="204" customWidth="1"/>
    <col min="6" max="6" width="13" style="204" customWidth="1"/>
    <col min="7" max="7" width="9.453125" style="204" customWidth="1"/>
    <col min="8" max="8" width="8.26953125" style="215" customWidth="1"/>
    <col min="9" max="249" width="7.08984375" style="204"/>
    <col min="250" max="250" width="10.26953125" style="204" customWidth="1"/>
    <col min="251" max="251" width="3.54296875" style="204" customWidth="1"/>
    <col min="252" max="253" width="1.7265625" style="204" customWidth="1"/>
    <col min="254" max="254" width="4" style="204" customWidth="1"/>
    <col min="255" max="255" width="24.26953125" style="204" customWidth="1"/>
    <col min="256" max="256" width="1.7265625" style="204" customWidth="1"/>
    <col min="257" max="258" width="8.26953125" style="204" customWidth="1"/>
    <col min="259" max="505" width="7.08984375" style="204"/>
    <col min="506" max="506" width="10.26953125" style="204" customWidth="1"/>
    <col min="507" max="507" width="3.54296875" style="204" customWidth="1"/>
    <col min="508" max="509" width="1.7265625" style="204" customWidth="1"/>
    <col min="510" max="510" width="4" style="204" customWidth="1"/>
    <col min="511" max="511" width="24.26953125" style="204" customWidth="1"/>
    <col min="512" max="512" width="1.7265625" style="204" customWidth="1"/>
    <col min="513" max="514" width="8.26953125" style="204" customWidth="1"/>
    <col min="515" max="761" width="7.08984375" style="204"/>
    <col min="762" max="762" width="10.26953125" style="204" customWidth="1"/>
    <col min="763" max="763" width="3.54296875" style="204" customWidth="1"/>
    <col min="764" max="765" width="1.7265625" style="204" customWidth="1"/>
    <col min="766" max="766" width="4" style="204" customWidth="1"/>
    <col min="767" max="767" width="24.26953125" style="204" customWidth="1"/>
    <col min="768" max="768" width="1.7265625" style="204" customWidth="1"/>
    <col min="769" max="770" width="8.26953125" style="204" customWidth="1"/>
    <col min="771" max="1017" width="7.08984375" style="204"/>
    <col min="1018" max="1018" width="10.26953125" style="204" customWidth="1"/>
    <col min="1019" max="1019" width="3.54296875" style="204" customWidth="1"/>
    <col min="1020" max="1021" width="1.7265625" style="204" customWidth="1"/>
    <col min="1022" max="1022" width="4" style="204" customWidth="1"/>
    <col min="1023" max="1023" width="24.26953125" style="204" customWidth="1"/>
    <col min="1024" max="1024" width="1.7265625" style="204" customWidth="1"/>
    <col min="1025" max="1026" width="8.26953125" style="204" customWidth="1"/>
    <col min="1027" max="1273" width="7.08984375" style="204"/>
    <col min="1274" max="1274" width="10.26953125" style="204" customWidth="1"/>
    <col min="1275" max="1275" width="3.54296875" style="204" customWidth="1"/>
    <col min="1276" max="1277" width="1.7265625" style="204" customWidth="1"/>
    <col min="1278" max="1278" width="4" style="204" customWidth="1"/>
    <col min="1279" max="1279" width="24.26953125" style="204" customWidth="1"/>
    <col min="1280" max="1280" width="1.7265625" style="204" customWidth="1"/>
    <col min="1281" max="1282" width="8.26953125" style="204" customWidth="1"/>
    <col min="1283" max="1529" width="7.08984375" style="204"/>
    <col min="1530" max="1530" width="10.26953125" style="204" customWidth="1"/>
    <col min="1531" max="1531" width="3.54296875" style="204" customWidth="1"/>
    <col min="1532" max="1533" width="1.7265625" style="204" customWidth="1"/>
    <col min="1534" max="1534" width="4" style="204" customWidth="1"/>
    <col min="1535" max="1535" width="24.26953125" style="204" customWidth="1"/>
    <col min="1536" max="1536" width="1.7265625" style="204" customWidth="1"/>
    <col min="1537" max="1538" width="8.26953125" style="204" customWidth="1"/>
    <col min="1539" max="1785" width="7.08984375" style="204"/>
    <col min="1786" max="1786" width="10.26953125" style="204" customWidth="1"/>
    <col min="1787" max="1787" width="3.54296875" style="204" customWidth="1"/>
    <col min="1788" max="1789" width="1.7265625" style="204" customWidth="1"/>
    <col min="1790" max="1790" width="4" style="204" customWidth="1"/>
    <col min="1791" max="1791" width="24.26953125" style="204" customWidth="1"/>
    <col min="1792" max="1792" width="1.7265625" style="204" customWidth="1"/>
    <col min="1793" max="1794" width="8.26953125" style="204" customWidth="1"/>
    <col min="1795" max="2041" width="7.08984375" style="204"/>
    <col min="2042" max="2042" width="10.26953125" style="204" customWidth="1"/>
    <col min="2043" max="2043" width="3.54296875" style="204" customWidth="1"/>
    <col min="2044" max="2045" width="1.7265625" style="204" customWidth="1"/>
    <col min="2046" max="2046" width="4" style="204" customWidth="1"/>
    <col min="2047" max="2047" width="24.26953125" style="204" customWidth="1"/>
    <col min="2048" max="2048" width="1.7265625" style="204" customWidth="1"/>
    <col min="2049" max="2050" width="8.26953125" style="204" customWidth="1"/>
    <col min="2051" max="2297" width="7.08984375" style="204"/>
    <col min="2298" max="2298" width="10.26953125" style="204" customWidth="1"/>
    <col min="2299" max="2299" width="3.54296875" style="204" customWidth="1"/>
    <col min="2300" max="2301" width="1.7265625" style="204" customWidth="1"/>
    <col min="2302" max="2302" width="4" style="204" customWidth="1"/>
    <col min="2303" max="2303" width="24.26953125" style="204" customWidth="1"/>
    <col min="2304" max="2304" width="1.7265625" style="204" customWidth="1"/>
    <col min="2305" max="2306" width="8.26953125" style="204" customWidth="1"/>
    <col min="2307" max="2553" width="7.08984375" style="204"/>
    <col min="2554" max="2554" width="10.26953125" style="204" customWidth="1"/>
    <col min="2555" max="2555" width="3.54296875" style="204" customWidth="1"/>
    <col min="2556" max="2557" width="1.7265625" style="204" customWidth="1"/>
    <col min="2558" max="2558" width="4" style="204" customWidth="1"/>
    <col min="2559" max="2559" width="24.26953125" style="204" customWidth="1"/>
    <col min="2560" max="2560" width="1.7265625" style="204" customWidth="1"/>
    <col min="2561" max="2562" width="8.26953125" style="204" customWidth="1"/>
    <col min="2563" max="2809" width="7.08984375" style="204"/>
    <col min="2810" max="2810" width="10.26953125" style="204" customWidth="1"/>
    <col min="2811" max="2811" width="3.54296875" style="204" customWidth="1"/>
    <col min="2812" max="2813" width="1.7265625" style="204" customWidth="1"/>
    <col min="2814" max="2814" width="4" style="204" customWidth="1"/>
    <col min="2815" max="2815" width="24.26953125" style="204" customWidth="1"/>
    <col min="2816" max="2816" width="1.7265625" style="204" customWidth="1"/>
    <col min="2817" max="2818" width="8.26953125" style="204" customWidth="1"/>
    <col min="2819" max="3065" width="7.08984375" style="204"/>
    <col min="3066" max="3066" width="10.26953125" style="204" customWidth="1"/>
    <col min="3067" max="3067" width="3.54296875" style="204" customWidth="1"/>
    <col min="3068" max="3069" width="1.7265625" style="204" customWidth="1"/>
    <col min="3070" max="3070" width="4" style="204" customWidth="1"/>
    <col min="3071" max="3071" width="24.26953125" style="204" customWidth="1"/>
    <col min="3072" max="3072" width="1.7265625" style="204" customWidth="1"/>
    <col min="3073" max="3074" width="8.26953125" style="204" customWidth="1"/>
    <col min="3075" max="3321" width="7.08984375" style="204"/>
    <col min="3322" max="3322" width="10.26953125" style="204" customWidth="1"/>
    <col min="3323" max="3323" width="3.54296875" style="204" customWidth="1"/>
    <col min="3324" max="3325" width="1.7265625" style="204" customWidth="1"/>
    <col min="3326" max="3326" width="4" style="204" customWidth="1"/>
    <col min="3327" max="3327" width="24.26953125" style="204" customWidth="1"/>
    <col min="3328" max="3328" width="1.7265625" style="204" customWidth="1"/>
    <col min="3329" max="3330" width="8.26953125" style="204" customWidth="1"/>
    <col min="3331" max="3577" width="7.08984375" style="204"/>
    <col min="3578" max="3578" width="10.26953125" style="204" customWidth="1"/>
    <col min="3579" max="3579" width="3.54296875" style="204" customWidth="1"/>
    <col min="3580" max="3581" width="1.7265625" style="204" customWidth="1"/>
    <col min="3582" max="3582" width="4" style="204" customWidth="1"/>
    <col min="3583" max="3583" width="24.26953125" style="204" customWidth="1"/>
    <col min="3584" max="3584" width="1.7265625" style="204" customWidth="1"/>
    <col min="3585" max="3586" width="8.26953125" style="204" customWidth="1"/>
    <col min="3587" max="3833" width="7.08984375" style="204"/>
    <col min="3834" max="3834" width="10.26953125" style="204" customWidth="1"/>
    <col min="3835" max="3835" width="3.54296875" style="204" customWidth="1"/>
    <col min="3836" max="3837" width="1.7265625" style="204" customWidth="1"/>
    <col min="3838" max="3838" width="4" style="204" customWidth="1"/>
    <col min="3839" max="3839" width="24.26953125" style="204" customWidth="1"/>
    <col min="3840" max="3840" width="1.7265625" style="204" customWidth="1"/>
    <col min="3841" max="3842" width="8.26953125" style="204" customWidth="1"/>
    <col min="3843" max="4089" width="7.08984375" style="204"/>
    <col min="4090" max="4090" width="10.26953125" style="204" customWidth="1"/>
    <col min="4091" max="4091" width="3.54296875" style="204" customWidth="1"/>
    <col min="4092" max="4093" width="1.7265625" style="204" customWidth="1"/>
    <col min="4094" max="4094" width="4" style="204" customWidth="1"/>
    <col min="4095" max="4095" width="24.26953125" style="204" customWidth="1"/>
    <col min="4096" max="4096" width="1.7265625" style="204" customWidth="1"/>
    <col min="4097" max="4098" width="8.26953125" style="204" customWidth="1"/>
    <col min="4099" max="4345" width="7.08984375" style="204"/>
    <col min="4346" max="4346" width="10.26953125" style="204" customWidth="1"/>
    <col min="4347" max="4347" width="3.54296875" style="204" customWidth="1"/>
    <col min="4348" max="4349" width="1.7265625" style="204" customWidth="1"/>
    <col min="4350" max="4350" width="4" style="204" customWidth="1"/>
    <col min="4351" max="4351" width="24.26953125" style="204" customWidth="1"/>
    <col min="4352" max="4352" width="1.7265625" style="204" customWidth="1"/>
    <col min="4353" max="4354" width="8.26953125" style="204" customWidth="1"/>
    <col min="4355" max="4601" width="7.08984375" style="204"/>
    <col min="4602" max="4602" width="10.26953125" style="204" customWidth="1"/>
    <col min="4603" max="4603" width="3.54296875" style="204" customWidth="1"/>
    <col min="4604" max="4605" width="1.7265625" style="204" customWidth="1"/>
    <col min="4606" max="4606" width="4" style="204" customWidth="1"/>
    <col min="4607" max="4607" width="24.26953125" style="204" customWidth="1"/>
    <col min="4608" max="4608" width="1.7265625" style="204" customWidth="1"/>
    <col min="4609" max="4610" width="8.26953125" style="204" customWidth="1"/>
    <col min="4611" max="4857" width="7.08984375" style="204"/>
    <col min="4858" max="4858" width="10.26953125" style="204" customWidth="1"/>
    <col min="4859" max="4859" width="3.54296875" style="204" customWidth="1"/>
    <col min="4860" max="4861" width="1.7265625" style="204" customWidth="1"/>
    <col min="4862" max="4862" width="4" style="204" customWidth="1"/>
    <col min="4863" max="4863" width="24.26953125" style="204" customWidth="1"/>
    <col min="4864" max="4864" width="1.7265625" style="204" customWidth="1"/>
    <col min="4865" max="4866" width="8.26953125" style="204" customWidth="1"/>
    <col min="4867" max="5113" width="7.08984375" style="204"/>
    <col min="5114" max="5114" width="10.26953125" style="204" customWidth="1"/>
    <col min="5115" max="5115" width="3.54296875" style="204" customWidth="1"/>
    <col min="5116" max="5117" width="1.7265625" style="204" customWidth="1"/>
    <col min="5118" max="5118" width="4" style="204" customWidth="1"/>
    <col min="5119" max="5119" width="24.26953125" style="204" customWidth="1"/>
    <col min="5120" max="5120" width="1.7265625" style="204" customWidth="1"/>
    <col min="5121" max="5122" width="8.26953125" style="204" customWidth="1"/>
    <col min="5123" max="5369" width="7.08984375" style="204"/>
    <col min="5370" max="5370" width="10.26953125" style="204" customWidth="1"/>
    <col min="5371" max="5371" width="3.54296875" style="204" customWidth="1"/>
    <col min="5372" max="5373" width="1.7265625" style="204" customWidth="1"/>
    <col min="5374" max="5374" width="4" style="204" customWidth="1"/>
    <col min="5375" max="5375" width="24.26953125" style="204" customWidth="1"/>
    <col min="5376" max="5376" width="1.7265625" style="204" customWidth="1"/>
    <col min="5377" max="5378" width="8.26953125" style="204" customWidth="1"/>
    <col min="5379" max="5625" width="7.08984375" style="204"/>
    <col min="5626" max="5626" width="10.26953125" style="204" customWidth="1"/>
    <col min="5627" max="5627" width="3.54296875" style="204" customWidth="1"/>
    <col min="5628" max="5629" width="1.7265625" style="204" customWidth="1"/>
    <col min="5630" max="5630" width="4" style="204" customWidth="1"/>
    <col min="5631" max="5631" width="24.26953125" style="204" customWidth="1"/>
    <col min="5632" max="5632" width="1.7265625" style="204" customWidth="1"/>
    <col min="5633" max="5634" width="8.26953125" style="204" customWidth="1"/>
    <col min="5635" max="5881" width="7.08984375" style="204"/>
    <col min="5882" max="5882" width="10.26953125" style="204" customWidth="1"/>
    <col min="5883" max="5883" width="3.54296875" style="204" customWidth="1"/>
    <col min="5884" max="5885" width="1.7265625" style="204" customWidth="1"/>
    <col min="5886" max="5886" width="4" style="204" customWidth="1"/>
    <col min="5887" max="5887" width="24.26953125" style="204" customWidth="1"/>
    <col min="5888" max="5888" width="1.7265625" style="204" customWidth="1"/>
    <col min="5889" max="5890" width="8.26953125" style="204" customWidth="1"/>
    <col min="5891" max="6137" width="7.08984375" style="204"/>
    <col min="6138" max="6138" width="10.26953125" style="204" customWidth="1"/>
    <col min="6139" max="6139" width="3.54296875" style="204" customWidth="1"/>
    <col min="6140" max="6141" width="1.7265625" style="204" customWidth="1"/>
    <col min="6142" max="6142" width="4" style="204" customWidth="1"/>
    <col min="6143" max="6143" width="24.26953125" style="204" customWidth="1"/>
    <col min="6144" max="6144" width="1.7265625" style="204" customWidth="1"/>
    <col min="6145" max="6146" width="8.26953125" style="204" customWidth="1"/>
    <col min="6147" max="6393" width="7.08984375" style="204"/>
    <col min="6394" max="6394" width="10.26953125" style="204" customWidth="1"/>
    <col min="6395" max="6395" width="3.54296875" style="204" customWidth="1"/>
    <col min="6396" max="6397" width="1.7265625" style="204" customWidth="1"/>
    <col min="6398" max="6398" width="4" style="204" customWidth="1"/>
    <col min="6399" max="6399" width="24.26953125" style="204" customWidth="1"/>
    <col min="6400" max="6400" width="1.7265625" style="204" customWidth="1"/>
    <col min="6401" max="6402" width="8.26953125" style="204" customWidth="1"/>
    <col min="6403" max="6649" width="7.08984375" style="204"/>
    <col min="6650" max="6650" width="10.26953125" style="204" customWidth="1"/>
    <col min="6651" max="6651" width="3.54296875" style="204" customWidth="1"/>
    <col min="6652" max="6653" width="1.7265625" style="204" customWidth="1"/>
    <col min="6654" max="6654" width="4" style="204" customWidth="1"/>
    <col min="6655" max="6655" width="24.26953125" style="204" customWidth="1"/>
    <col min="6656" max="6656" width="1.7265625" style="204" customWidth="1"/>
    <col min="6657" max="6658" width="8.26953125" style="204" customWidth="1"/>
    <col min="6659" max="6905" width="7.08984375" style="204"/>
    <col min="6906" max="6906" width="10.26953125" style="204" customWidth="1"/>
    <col min="6907" max="6907" width="3.54296875" style="204" customWidth="1"/>
    <col min="6908" max="6909" width="1.7265625" style="204" customWidth="1"/>
    <col min="6910" max="6910" width="4" style="204" customWidth="1"/>
    <col min="6911" max="6911" width="24.26953125" style="204" customWidth="1"/>
    <col min="6912" max="6912" width="1.7265625" style="204" customWidth="1"/>
    <col min="6913" max="6914" width="8.26953125" style="204" customWidth="1"/>
    <col min="6915" max="7161" width="7.08984375" style="204"/>
    <col min="7162" max="7162" width="10.26953125" style="204" customWidth="1"/>
    <col min="7163" max="7163" width="3.54296875" style="204" customWidth="1"/>
    <col min="7164" max="7165" width="1.7265625" style="204" customWidth="1"/>
    <col min="7166" max="7166" width="4" style="204" customWidth="1"/>
    <col min="7167" max="7167" width="24.26953125" style="204" customWidth="1"/>
    <col min="7168" max="7168" width="1.7265625" style="204" customWidth="1"/>
    <col min="7169" max="7170" width="8.26953125" style="204" customWidth="1"/>
    <col min="7171" max="7417" width="7.08984375" style="204"/>
    <col min="7418" max="7418" width="10.26953125" style="204" customWidth="1"/>
    <col min="7419" max="7419" width="3.54296875" style="204" customWidth="1"/>
    <col min="7420" max="7421" width="1.7265625" style="204" customWidth="1"/>
    <col min="7422" max="7422" width="4" style="204" customWidth="1"/>
    <col min="7423" max="7423" width="24.26953125" style="204" customWidth="1"/>
    <col min="7424" max="7424" width="1.7265625" style="204" customWidth="1"/>
    <col min="7425" max="7426" width="8.26953125" style="204" customWidth="1"/>
    <col min="7427" max="7673" width="7.08984375" style="204"/>
    <col min="7674" max="7674" width="10.26953125" style="204" customWidth="1"/>
    <col min="7675" max="7675" width="3.54296875" style="204" customWidth="1"/>
    <col min="7676" max="7677" width="1.7265625" style="204" customWidth="1"/>
    <col min="7678" max="7678" width="4" style="204" customWidth="1"/>
    <col min="7679" max="7679" width="24.26953125" style="204" customWidth="1"/>
    <col min="7680" max="7680" width="1.7265625" style="204" customWidth="1"/>
    <col min="7681" max="7682" width="8.26953125" style="204" customWidth="1"/>
    <col min="7683" max="7929" width="7.08984375" style="204"/>
    <col min="7930" max="7930" width="10.26953125" style="204" customWidth="1"/>
    <col min="7931" max="7931" width="3.54296875" style="204" customWidth="1"/>
    <col min="7932" max="7933" width="1.7265625" style="204" customWidth="1"/>
    <col min="7934" max="7934" width="4" style="204" customWidth="1"/>
    <col min="7935" max="7935" width="24.26953125" style="204" customWidth="1"/>
    <col min="7936" max="7936" width="1.7265625" style="204" customWidth="1"/>
    <col min="7937" max="7938" width="8.26953125" style="204" customWidth="1"/>
    <col min="7939" max="8185" width="7.08984375" style="204"/>
    <col min="8186" max="8186" width="10.26953125" style="204" customWidth="1"/>
    <col min="8187" max="8187" width="3.54296875" style="204" customWidth="1"/>
    <col min="8188" max="8189" width="1.7265625" style="204" customWidth="1"/>
    <col min="8190" max="8190" width="4" style="204" customWidth="1"/>
    <col min="8191" max="8191" width="24.26953125" style="204" customWidth="1"/>
    <col min="8192" max="8192" width="1.7265625" style="204" customWidth="1"/>
    <col min="8193" max="8194" width="8.26953125" style="204" customWidth="1"/>
    <col min="8195" max="8441" width="7.08984375" style="204"/>
    <col min="8442" max="8442" width="10.26953125" style="204" customWidth="1"/>
    <col min="8443" max="8443" width="3.54296875" style="204" customWidth="1"/>
    <col min="8444" max="8445" width="1.7265625" style="204" customWidth="1"/>
    <col min="8446" max="8446" width="4" style="204" customWidth="1"/>
    <col min="8447" max="8447" width="24.26953125" style="204" customWidth="1"/>
    <col min="8448" max="8448" width="1.7265625" style="204" customWidth="1"/>
    <col min="8449" max="8450" width="8.26953125" style="204" customWidth="1"/>
    <col min="8451" max="8697" width="7.08984375" style="204"/>
    <col min="8698" max="8698" width="10.26953125" style="204" customWidth="1"/>
    <col min="8699" max="8699" width="3.54296875" style="204" customWidth="1"/>
    <col min="8700" max="8701" width="1.7265625" style="204" customWidth="1"/>
    <col min="8702" max="8702" width="4" style="204" customWidth="1"/>
    <col min="8703" max="8703" width="24.26953125" style="204" customWidth="1"/>
    <col min="8704" max="8704" width="1.7265625" style="204" customWidth="1"/>
    <col min="8705" max="8706" width="8.26953125" style="204" customWidth="1"/>
    <col min="8707" max="8953" width="7.08984375" style="204"/>
    <col min="8954" max="8954" width="10.26953125" style="204" customWidth="1"/>
    <col min="8955" max="8955" width="3.54296875" style="204" customWidth="1"/>
    <col min="8956" max="8957" width="1.7265625" style="204" customWidth="1"/>
    <col min="8958" max="8958" width="4" style="204" customWidth="1"/>
    <col min="8959" max="8959" width="24.26953125" style="204" customWidth="1"/>
    <col min="8960" max="8960" width="1.7265625" style="204" customWidth="1"/>
    <col min="8961" max="8962" width="8.26953125" style="204" customWidth="1"/>
    <col min="8963" max="9209" width="7.08984375" style="204"/>
    <col min="9210" max="9210" width="10.26953125" style="204" customWidth="1"/>
    <col min="9211" max="9211" width="3.54296875" style="204" customWidth="1"/>
    <col min="9212" max="9213" width="1.7265625" style="204" customWidth="1"/>
    <col min="9214" max="9214" width="4" style="204" customWidth="1"/>
    <col min="9215" max="9215" width="24.26953125" style="204" customWidth="1"/>
    <col min="9216" max="9216" width="1.7265625" style="204" customWidth="1"/>
    <col min="9217" max="9218" width="8.26953125" style="204" customWidth="1"/>
    <col min="9219" max="9465" width="7.08984375" style="204"/>
    <col min="9466" max="9466" width="10.26953125" style="204" customWidth="1"/>
    <col min="9467" max="9467" width="3.54296875" style="204" customWidth="1"/>
    <col min="9468" max="9469" width="1.7265625" style="204" customWidth="1"/>
    <col min="9470" max="9470" width="4" style="204" customWidth="1"/>
    <col min="9471" max="9471" width="24.26953125" style="204" customWidth="1"/>
    <col min="9472" max="9472" width="1.7265625" style="204" customWidth="1"/>
    <col min="9473" max="9474" width="8.26953125" style="204" customWidth="1"/>
    <col min="9475" max="9721" width="7.08984375" style="204"/>
    <col min="9722" max="9722" width="10.26953125" style="204" customWidth="1"/>
    <col min="9723" max="9723" width="3.54296875" style="204" customWidth="1"/>
    <col min="9724" max="9725" width="1.7265625" style="204" customWidth="1"/>
    <col min="9726" max="9726" width="4" style="204" customWidth="1"/>
    <col min="9727" max="9727" width="24.26953125" style="204" customWidth="1"/>
    <col min="9728" max="9728" width="1.7265625" style="204" customWidth="1"/>
    <col min="9729" max="9730" width="8.26953125" style="204" customWidth="1"/>
    <col min="9731" max="9977" width="7.08984375" style="204"/>
    <col min="9978" max="9978" width="10.26953125" style="204" customWidth="1"/>
    <col min="9979" max="9979" width="3.54296875" style="204" customWidth="1"/>
    <col min="9980" max="9981" width="1.7265625" style="204" customWidth="1"/>
    <col min="9982" max="9982" width="4" style="204" customWidth="1"/>
    <col min="9983" max="9983" width="24.26953125" style="204" customWidth="1"/>
    <col min="9984" max="9984" width="1.7265625" style="204" customWidth="1"/>
    <col min="9985" max="9986" width="8.26953125" style="204" customWidth="1"/>
    <col min="9987" max="10233" width="7.08984375" style="204"/>
    <col min="10234" max="10234" width="10.26953125" style="204" customWidth="1"/>
    <col min="10235" max="10235" width="3.54296875" style="204" customWidth="1"/>
    <col min="10236" max="10237" width="1.7265625" style="204" customWidth="1"/>
    <col min="10238" max="10238" width="4" style="204" customWidth="1"/>
    <col min="10239" max="10239" width="24.26953125" style="204" customWidth="1"/>
    <col min="10240" max="10240" width="1.7265625" style="204" customWidth="1"/>
    <col min="10241" max="10242" width="8.26953125" style="204" customWidth="1"/>
    <col min="10243" max="10489" width="7.08984375" style="204"/>
    <col min="10490" max="10490" width="10.26953125" style="204" customWidth="1"/>
    <col min="10491" max="10491" width="3.54296875" style="204" customWidth="1"/>
    <col min="10492" max="10493" width="1.7265625" style="204" customWidth="1"/>
    <col min="10494" max="10494" width="4" style="204" customWidth="1"/>
    <col min="10495" max="10495" width="24.26953125" style="204" customWidth="1"/>
    <col min="10496" max="10496" width="1.7265625" style="204" customWidth="1"/>
    <col min="10497" max="10498" width="8.26953125" style="204" customWidth="1"/>
    <col min="10499" max="10745" width="7.08984375" style="204"/>
    <col min="10746" max="10746" width="10.26953125" style="204" customWidth="1"/>
    <col min="10747" max="10747" width="3.54296875" style="204" customWidth="1"/>
    <col min="10748" max="10749" width="1.7265625" style="204" customWidth="1"/>
    <col min="10750" max="10750" width="4" style="204" customWidth="1"/>
    <col min="10751" max="10751" width="24.26953125" style="204" customWidth="1"/>
    <col min="10752" max="10752" width="1.7265625" style="204" customWidth="1"/>
    <col min="10753" max="10754" width="8.26953125" style="204" customWidth="1"/>
    <col min="10755" max="11001" width="7.08984375" style="204"/>
    <col min="11002" max="11002" width="10.26953125" style="204" customWidth="1"/>
    <col min="11003" max="11003" width="3.54296875" style="204" customWidth="1"/>
    <col min="11004" max="11005" width="1.7265625" style="204" customWidth="1"/>
    <col min="11006" max="11006" width="4" style="204" customWidth="1"/>
    <col min="11007" max="11007" width="24.26953125" style="204" customWidth="1"/>
    <col min="11008" max="11008" width="1.7265625" style="204" customWidth="1"/>
    <col min="11009" max="11010" width="8.26953125" style="204" customWidth="1"/>
    <col min="11011" max="11257" width="7.08984375" style="204"/>
    <col min="11258" max="11258" width="10.26953125" style="204" customWidth="1"/>
    <col min="11259" max="11259" width="3.54296875" style="204" customWidth="1"/>
    <col min="11260" max="11261" width="1.7265625" style="204" customWidth="1"/>
    <col min="11262" max="11262" width="4" style="204" customWidth="1"/>
    <col min="11263" max="11263" width="24.26953125" style="204" customWidth="1"/>
    <col min="11264" max="11264" width="1.7265625" style="204" customWidth="1"/>
    <col min="11265" max="11266" width="8.26953125" style="204" customWidth="1"/>
    <col min="11267" max="11513" width="7.08984375" style="204"/>
    <col min="11514" max="11514" width="10.26953125" style="204" customWidth="1"/>
    <col min="11515" max="11515" width="3.54296875" style="204" customWidth="1"/>
    <col min="11516" max="11517" width="1.7265625" style="204" customWidth="1"/>
    <col min="11518" max="11518" width="4" style="204" customWidth="1"/>
    <col min="11519" max="11519" width="24.26953125" style="204" customWidth="1"/>
    <col min="11520" max="11520" width="1.7265625" style="204" customWidth="1"/>
    <col min="11521" max="11522" width="8.26953125" style="204" customWidth="1"/>
    <col min="11523" max="11769" width="7.08984375" style="204"/>
    <col min="11770" max="11770" width="10.26953125" style="204" customWidth="1"/>
    <col min="11771" max="11771" width="3.54296875" style="204" customWidth="1"/>
    <col min="11772" max="11773" width="1.7265625" style="204" customWidth="1"/>
    <col min="11774" max="11774" width="4" style="204" customWidth="1"/>
    <col min="11775" max="11775" width="24.26953125" style="204" customWidth="1"/>
    <col min="11776" max="11776" width="1.7265625" style="204" customWidth="1"/>
    <col min="11777" max="11778" width="8.26953125" style="204" customWidth="1"/>
    <col min="11779" max="12025" width="7.08984375" style="204"/>
    <col min="12026" max="12026" width="10.26953125" style="204" customWidth="1"/>
    <col min="12027" max="12027" width="3.54296875" style="204" customWidth="1"/>
    <col min="12028" max="12029" width="1.7265625" style="204" customWidth="1"/>
    <col min="12030" max="12030" width="4" style="204" customWidth="1"/>
    <col min="12031" max="12031" width="24.26953125" style="204" customWidth="1"/>
    <col min="12032" max="12032" width="1.7265625" style="204" customWidth="1"/>
    <col min="12033" max="12034" width="8.26953125" style="204" customWidth="1"/>
    <col min="12035" max="12281" width="7.08984375" style="204"/>
    <col min="12282" max="12282" width="10.26953125" style="204" customWidth="1"/>
    <col min="12283" max="12283" width="3.54296875" style="204" customWidth="1"/>
    <col min="12284" max="12285" width="1.7265625" style="204" customWidth="1"/>
    <col min="12286" max="12286" width="4" style="204" customWidth="1"/>
    <col min="12287" max="12287" width="24.26953125" style="204" customWidth="1"/>
    <col min="12288" max="12288" width="1.7265625" style="204" customWidth="1"/>
    <col min="12289" max="12290" width="8.26953125" style="204" customWidth="1"/>
    <col min="12291" max="12537" width="7.08984375" style="204"/>
    <col min="12538" max="12538" width="10.26953125" style="204" customWidth="1"/>
    <col min="12539" max="12539" width="3.54296875" style="204" customWidth="1"/>
    <col min="12540" max="12541" width="1.7265625" style="204" customWidth="1"/>
    <col min="12542" max="12542" width="4" style="204" customWidth="1"/>
    <col min="12543" max="12543" width="24.26953125" style="204" customWidth="1"/>
    <col min="12544" max="12544" width="1.7265625" style="204" customWidth="1"/>
    <col min="12545" max="12546" width="8.26953125" style="204" customWidth="1"/>
    <col min="12547" max="12793" width="7.08984375" style="204"/>
    <col min="12794" max="12794" width="10.26953125" style="204" customWidth="1"/>
    <col min="12795" max="12795" width="3.54296875" style="204" customWidth="1"/>
    <col min="12796" max="12797" width="1.7265625" style="204" customWidth="1"/>
    <col min="12798" max="12798" width="4" style="204" customWidth="1"/>
    <col min="12799" max="12799" width="24.26953125" style="204" customWidth="1"/>
    <col min="12800" max="12800" width="1.7265625" style="204" customWidth="1"/>
    <col min="12801" max="12802" width="8.26953125" style="204" customWidth="1"/>
    <col min="12803" max="13049" width="7.08984375" style="204"/>
    <col min="13050" max="13050" width="10.26953125" style="204" customWidth="1"/>
    <col min="13051" max="13051" width="3.54296875" style="204" customWidth="1"/>
    <col min="13052" max="13053" width="1.7265625" style="204" customWidth="1"/>
    <col min="13054" max="13054" width="4" style="204" customWidth="1"/>
    <col min="13055" max="13055" width="24.26953125" style="204" customWidth="1"/>
    <col min="13056" max="13056" width="1.7265625" style="204" customWidth="1"/>
    <col min="13057" max="13058" width="8.26953125" style="204" customWidth="1"/>
    <col min="13059" max="13305" width="7.08984375" style="204"/>
    <col min="13306" max="13306" width="10.26953125" style="204" customWidth="1"/>
    <col min="13307" max="13307" width="3.54296875" style="204" customWidth="1"/>
    <col min="13308" max="13309" width="1.7265625" style="204" customWidth="1"/>
    <col min="13310" max="13310" width="4" style="204" customWidth="1"/>
    <col min="13311" max="13311" width="24.26953125" style="204" customWidth="1"/>
    <col min="13312" max="13312" width="1.7265625" style="204" customWidth="1"/>
    <col min="13313" max="13314" width="8.26953125" style="204" customWidth="1"/>
    <col min="13315" max="13561" width="7.08984375" style="204"/>
    <col min="13562" max="13562" width="10.26953125" style="204" customWidth="1"/>
    <col min="13563" max="13563" width="3.54296875" style="204" customWidth="1"/>
    <col min="13564" max="13565" width="1.7265625" style="204" customWidth="1"/>
    <col min="13566" max="13566" width="4" style="204" customWidth="1"/>
    <col min="13567" max="13567" width="24.26953125" style="204" customWidth="1"/>
    <col min="13568" max="13568" width="1.7265625" style="204" customWidth="1"/>
    <col min="13569" max="13570" width="8.26953125" style="204" customWidth="1"/>
    <col min="13571" max="13817" width="7.08984375" style="204"/>
    <col min="13818" max="13818" width="10.26953125" style="204" customWidth="1"/>
    <col min="13819" max="13819" width="3.54296875" style="204" customWidth="1"/>
    <col min="13820" max="13821" width="1.7265625" style="204" customWidth="1"/>
    <col min="13822" max="13822" width="4" style="204" customWidth="1"/>
    <col min="13823" max="13823" width="24.26953125" style="204" customWidth="1"/>
    <col min="13824" max="13824" width="1.7265625" style="204" customWidth="1"/>
    <col min="13825" max="13826" width="8.26953125" style="204" customWidth="1"/>
    <col min="13827" max="14073" width="7.08984375" style="204"/>
    <col min="14074" max="14074" width="10.26953125" style="204" customWidth="1"/>
    <col min="14075" max="14075" width="3.54296875" style="204" customWidth="1"/>
    <col min="14076" max="14077" width="1.7265625" style="204" customWidth="1"/>
    <col min="14078" max="14078" width="4" style="204" customWidth="1"/>
    <col min="14079" max="14079" width="24.26953125" style="204" customWidth="1"/>
    <col min="14080" max="14080" width="1.7265625" style="204" customWidth="1"/>
    <col min="14081" max="14082" width="8.26953125" style="204" customWidth="1"/>
    <col min="14083" max="14329" width="7.08984375" style="204"/>
    <col min="14330" max="14330" width="10.26953125" style="204" customWidth="1"/>
    <col min="14331" max="14331" width="3.54296875" style="204" customWidth="1"/>
    <col min="14332" max="14333" width="1.7265625" style="204" customWidth="1"/>
    <col min="14334" max="14334" width="4" style="204" customWidth="1"/>
    <col min="14335" max="14335" width="24.26953125" style="204" customWidth="1"/>
    <col min="14336" max="14336" width="1.7265625" style="204" customWidth="1"/>
    <col min="14337" max="14338" width="8.26953125" style="204" customWidth="1"/>
    <col min="14339" max="14585" width="7.08984375" style="204"/>
    <col min="14586" max="14586" width="10.26953125" style="204" customWidth="1"/>
    <col min="14587" max="14587" width="3.54296875" style="204" customWidth="1"/>
    <col min="14588" max="14589" width="1.7265625" style="204" customWidth="1"/>
    <col min="14590" max="14590" width="4" style="204" customWidth="1"/>
    <col min="14591" max="14591" width="24.26953125" style="204" customWidth="1"/>
    <col min="14592" max="14592" width="1.7265625" style="204" customWidth="1"/>
    <col min="14593" max="14594" width="8.26953125" style="204" customWidth="1"/>
    <col min="14595" max="14841" width="7.08984375" style="204"/>
    <col min="14842" max="14842" width="10.26953125" style="204" customWidth="1"/>
    <col min="14843" max="14843" width="3.54296875" style="204" customWidth="1"/>
    <col min="14844" max="14845" width="1.7265625" style="204" customWidth="1"/>
    <col min="14846" max="14846" width="4" style="204" customWidth="1"/>
    <col min="14847" max="14847" width="24.26953125" style="204" customWidth="1"/>
    <col min="14848" max="14848" width="1.7265625" style="204" customWidth="1"/>
    <col min="14849" max="14850" width="8.26953125" style="204" customWidth="1"/>
    <col min="14851" max="15097" width="7.08984375" style="204"/>
    <col min="15098" max="15098" width="10.26953125" style="204" customWidth="1"/>
    <col min="15099" max="15099" width="3.54296875" style="204" customWidth="1"/>
    <col min="15100" max="15101" width="1.7265625" style="204" customWidth="1"/>
    <col min="15102" max="15102" width="4" style="204" customWidth="1"/>
    <col min="15103" max="15103" width="24.26953125" style="204" customWidth="1"/>
    <col min="15104" max="15104" width="1.7265625" style="204" customWidth="1"/>
    <col min="15105" max="15106" width="8.26953125" style="204" customWidth="1"/>
    <col min="15107" max="15353" width="7.08984375" style="204"/>
    <col min="15354" max="15354" width="10.26953125" style="204" customWidth="1"/>
    <col min="15355" max="15355" width="3.54296875" style="204" customWidth="1"/>
    <col min="15356" max="15357" width="1.7265625" style="204" customWidth="1"/>
    <col min="15358" max="15358" width="4" style="204" customWidth="1"/>
    <col min="15359" max="15359" width="24.26953125" style="204" customWidth="1"/>
    <col min="15360" max="15360" width="1.7265625" style="204" customWidth="1"/>
    <col min="15361" max="15362" width="8.26953125" style="204" customWidth="1"/>
    <col min="15363" max="15609" width="7.08984375" style="204"/>
    <col min="15610" max="15610" width="10.26953125" style="204" customWidth="1"/>
    <col min="15611" max="15611" width="3.54296875" style="204" customWidth="1"/>
    <col min="15612" max="15613" width="1.7265625" style="204" customWidth="1"/>
    <col min="15614" max="15614" width="4" style="204" customWidth="1"/>
    <col min="15615" max="15615" width="24.26953125" style="204" customWidth="1"/>
    <col min="15616" max="15616" width="1.7265625" style="204" customWidth="1"/>
    <col min="15617" max="15618" width="8.26953125" style="204" customWidth="1"/>
    <col min="15619" max="15865" width="7.08984375" style="204"/>
    <col min="15866" max="15866" width="10.26953125" style="204" customWidth="1"/>
    <col min="15867" max="15867" width="3.54296875" style="204" customWidth="1"/>
    <col min="15868" max="15869" width="1.7265625" style="204" customWidth="1"/>
    <col min="15870" max="15870" width="4" style="204" customWidth="1"/>
    <col min="15871" max="15871" width="24.26953125" style="204" customWidth="1"/>
    <col min="15872" max="15872" width="1.7265625" style="204" customWidth="1"/>
    <col min="15873" max="15874" width="8.26953125" style="204" customWidth="1"/>
    <col min="15875" max="16121" width="7.08984375" style="204"/>
    <col min="16122" max="16122" width="10.26953125" style="204" customWidth="1"/>
    <col min="16123" max="16123" width="3.54296875" style="204" customWidth="1"/>
    <col min="16124" max="16125" width="1.7265625" style="204" customWidth="1"/>
    <col min="16126" max="16126" width="4" style="204" customWidth="1"/>
    <col min="16127" max="16127" width="24.26953125" style="204" customWidth="1"/>
    <col min="16128" max="16128" width="1.7265625" style="204" customWidth="1"/>
    <col min="16129" max="16130" width="8.26953125" style="204" customWidth="1"/>
    <col min="16131" max="16384" width="7.08984375" style="204"/>
  </cols>
  <sheetData>
    <row r="1" spans="1:8" ht="14.25" customHeight="1">
      <c r="A1" s="784" t="s">
        <v>536</v>
      </c>
      <c r="B1" s="784"/>
      <c r="C1" s="784"/>
      <c r="D1" s="784"/>
      <c r="E1" s="784"/>
      <c r="F1" s="784"/>
      <c r="G1" s="784"/>
      <c r="H1" s="216"/>
    </row>
    <row r="2" spans="1:8">
      <c r="A2" s="784" t="s">
        <v>561</v>
      </c>
      <c r="B2" s="784"/>
      <c r="C2" s="784"/>
      <c r="D2" s="784"/>
      <c r="E2" s="784"/>
      <c r="F2" s="784"/>
      <c r="G2" s="784"/>
      <c r="H2" s="216"/>
    </row>
    <row r="3" spans="1:8">
      <c r="A3" s="785" t="str">
        <f>'Act Att-H'!C7</f>
        <v>Cheyenne Light, Fuel &amp; Power</v>
      </c>
      <c r="B3" s="785"/>
      <c r="C3" s="785"/>
      <c r="D3" s="785"/>
      <c r="E3" s="785"/>
      <c r="F3" s="785"/>
      <c r="G3" s="785"/>
      <c r="H3" s="228"/>
    </row>
    <row r="4" spans="1:8">
      <c r="F4" s="2"/>
      <c r="G4" s="205" t="s">
        <v>673</v>
      </c>
    </row>
    <row r="5" spans="1:8">
      <c r="A5" s="216"/>
      <c r="B5" s="216"/>
      <c r="C5" s="216"/>
      <c r="D5" s="216"/>
      <c r="E5" s="216"/>
      <c r="F5" s="216"/>
      <c r="G5" s="216"/>
      <c r="H5" s="216"/>
    </row>
    <row r="6" spans="1:8" ht="60.75" customHeight="1">
      <c r="B6" s="127" t="s">
        <v>4</v>
      </c>
      <c r="C6" s="127" t="s">
        <v>268</v>
      </c>
      <c r="D6" s="229" t="s">
        <v>269</v>
      </c>
      <c r="E6" s="229" t="s">
        <v>940</v>
      </c>
      <c r="F6" s="229" t="s">
        <v>562</v>
      </c>
      <c r="G6" s="229" t="s">
        <v>942</v>
      </c>
      <c r="H6" s="204"/>
    </row>
    <row r="7" spans="1:8" ht="15" customHeight="1">
      <c r="B7" s="225"/>
      <c r="C7" s="230" t="s">
        <v>157</v>
      </c>
      <c r="D7" s="231" t="s">
        <v>158</v>
      </c>
      <c r="E7" s="231" t="s">
        <v>159</v>
      </c>
      <c r="F7" s="231" t="s">
        <v>160</v>
      </c>
      <c r="G7" s="231" t="s">
        <v>161</v>
      </c>
      <c r="H7" s="204"/>
    </row>
    <row r="8" spans="1:8" ht="15" customHeight="1">
      <c r="B8" s="206">
        <v>1</v>
      </c>
      <c r="C8" s="419" t="s">
        <v>165</v>
      </c>
      <c r="D8" s="418">
        <v>2022</v>
      </c>
      <c r="E8" s="739">
        <v>253000</v>
      </c>
      <c r="F8" s="232">
        <f>E8</f>
        <v>253000</v>
      </c>
      <c r="G8" s="233"/>
      <c r="H8" s="204"/>
    </row>
    <row r="9" spans="1:8" ht="15" customHeight="1">
      <c r="B9" s="206">
        <v>2</v>
      </c>
      <c r="C9" s="419" t="s">
        <v>166</v>
      </c>
      <c r="D9" s="420">
        <f>D8</f>
        <v>2022</v>
      </c>
      <c r="E9" s="739">
        <v>262000</v>
      </c>
      <c r="F9" s="232">
        <f t="shared" ref="F9:F15" si="0">E9</f>
        <v>262000</v>
      </c>
      <c r="G9" s="233"/>
      <c r="H9" s="204"/>
    </row>
    <row r="10" spans="1:8" ht="15" customHeight="1">
      <c r="B10" s="206">
        <v>3</v>
      </c>
      <c r="C10" s="419" t="s">
        <v>516</v>
      </c>
      <c r="D10" s="420">
        <f t="shared" ref="D10:D19" si="1">D9</f>
        <v>2022</v>
      </c>
      <c r="E10" s="739">
        <v>259000</v>
      </c>
      <c r="F10" s="232">
        <f t="shared" si="0"/>
        <v>259000</v>
      </c>
      <c r="G10" s="233"/>
      <c r="H10" s="204"/>
    </row>
    <row r="11" spans="1:8" ht="15" customHeight="1">
      <c r="B11" s="206">
        <v>4</v>
      </c>
      <c r="C11" s="419" t="s">
        <v>167</v>
      </c>
      <c r="D11" s="420">
        <f t="shared" si="1"/>
        <v>2022</v>
      </c>
      <c r="E11" s="739">
        <v>248000</v>
      </c>
      <c r="F11" s="232">
        <f t="shared" si="0"/>
        <v>248000</v>
      </c>
      <c r="G11" s="233"/>
      <c r="H11" s="204"/>
    </row>
    <row r="12" spans="1:8" ht="15" customHeight="1">
      <c r="B12" s="206">
        <v>5</v>
      </c>
      <c r="C12" s="419" t="s">
        <v>168</v>
      </c>
      <c r="D12" s="420">
        <f t="shared" si="1"/>
        <v>2022</v>
      </c>
      <c r="E12" s="739">
        <v>243000</v>
      </c>
      <c r="F12" s="232">
        <f t="shared" si="0"/>
        <v>243000</v>
      </c>
      <c r="G12" s="233"/>
      <c r="H12" s="204"/>
    </row>
    <row r="13" spans="1:8" ht="15" customHeight="1">
      <c r="B13" s="206">
        <v>6</v>
      </c>
      <c r="C13" s="419" t="s">
        <v>169</v>
      </c>
      <c r="D13" s="420">
        <f t="shared" si="1"/>
        <v>2022</v>
      </c>
      <c r="E13" s="739">
        <v>282000</v>
      </c>
      <c r="F13" s="232">
        <f t="shared" si="0"/>
        <v>282000</v>
      </c>
      <c r="G13" s="233"/>
      <c r="H13" s="204"/>
    </row>
    <row r="14" spans="1:8" ht="15" customHeight="1">
      <c r="B14" s="206">
        <v>7</v>
      </c>
      <c r="C14" s="419" t="s">
        <v>170</v>
      </c>
      <c r="D14" s="420">
        <f t="shared" si="1"/>
        <v>2022</v>
      </c>
      <c r="E14" s="739">
        <v>294000</v>
      </c>
      <c r="F14" s="232">
        <f t="shared" si="0"/>
        <v>294000</v>
      </c>
      <c r="G14" s="233"/>
      <c r="H14" s="204"/>
    </row>
    <row r="15" spans="1:8" ht="15" customHeight="1">
      <c r="B15" s="206">
        <v>8</v>
      </c>
      <c r="C15" s="419" t="s">
        <v>517</v>
      </c>
      <c r="D15" s="420">
        <f t="shared" si="1"/>
        <v>2022</v>
      </c>
      <c r="E15" s="739">
        <v>293000</v>
      </c>
      <c r="F15" s="232">
        <f t="shared" si="0"/>
        <v>293000</v>
      </c>
      <c r="G15" s="233"/>
      <c r="H15" s="204"/>
    </row>
    <row r="16" spans="1:8" ht="15" customHeight="1">
      <c r="B16" s="206">
        <v>9</v>
      </c>
      <c r="C16" s="419" t="s">
        <v>171</v>
      </c>
      <c r="D16" s="420">
        <f t="shared" si="1"/>
        <v>2022</v>
      </c>
      <c r="E16" s="739">
        <v>294000</v>
      </c>
      <c r="F16" s="234"/>
      <c r="G16" s="235">
        <f>E16/F22</f>
        <v>1.1021555763823805</v>
      </c>
      <c r="H16" s="204"/>
    </row>
    <row r="17" spans="2:8" ht="15.6">
      <c r="B17" s="206">
        <v>10</v>
      </c>
      <c r="C17" s="419" t="s">
        <v>172</v>
      </c>
      <c r="D17" s="420">
        <f t="shared" si="1"/>
        <v>2022</v>
      </c>
      <c r="E17" s="739">
        <v>241000</v>
      </c>
      <c r="F17" s="234"/>
      <c r="G17" s="235">
        <f>E17/F22</f>
        <v>0.90346766635426434</v>
      </c>
      <c r="H17" s="204"/>
    </row>
    <row r="18" spans="2:8" ht="15.6">
      <c r="B18" s="206">
        <v>11</v>
      </c>
      <c r="C18" s="419" t="s">
        <v>173</v>
      </c>
      <c r="D18" s="420">
        <f t="shared" si="1"/>
        <v>2022</v>
      </c>
      <c r="E18" s="739">
        <v>263000</v>
      </c>
      <c r="F18" s="234"/>
      <c r="G18" s="235">
        <f>E18/F22</f>
        <v>0.98594189315838798</v>
      </c>
      <c r="H18" s="204"/>
    </row>
    <row r="19" spans="2:8" ht="15.6">
      <c r="B19" s="206">
        <v>12</v>
      </c>
      <c r="C19" s="419" t="s">
        <v>518</v>
      </c>
      <c r="D19" s="420">
        <f t="shared" si="1"/>
        <v>2022</v>
      </c>
      <c r="E19" s="739">
        <v>281000</v>
      </c>
      <c r="F19" s="234"/>
      <c r="G19" s="235">
        <f>E19/F22</f>
        <v>1.0534208059981256</v>
      </c>
      <c r="H19" s="204"/>
    </row>
    <row r="20" spans="2:8">
      <c r="B20" s="206">
        <v>13</v>
      </c>
      <c r="C20" s="236" t="s">
        <v>9</v>
      </c>
      <c r="D20" s="236"/>
      <c r="E20" s="237">
        <f t="shared" ref="E20" si="2">SUM(E8:E19)</f>
        <v>3213000</v>
      </c>
      <c r="G20" s="235"/>
      <c r="H20" s="204"/>
    </row>
    <row r="21" spans="2:8">
      <c r="B21" s="206">
        <v>14</v>
      </c>
      <c r="C21" s="236" t="s">
        <v>253</v>
      </c>
      <c r="D21" s="236"/>
      <c r="E21" s="238">
        <f t="shared" ref="E21" si="3">E20/12</f>
        <v>267750</v>
      </c>
      <c r="G21" s="239"/>
      <c r="H21" s="204"/>
    </row>
    <row r="22" spans="2:8">
      <c r="B22" s="206">
        <v>15</v>
      </c>
      <c r="C22" s="205" t="s">
        <v>563</v>
      </c>
      <c r="F22" s="232">
        <f>AVERAGE(F8:F15)</f>
        <v>266750</v>
      </c>
      <c r="G22" s="227"/>
      <c r="H22" s="204"/>
    </row>
    <row r="23" spans="2:8">
      <c r="B23" s="206"/>
      <c r="H23" s="226"/>
    </row>
    <row r="24" spans="2:8">
      <c r="B24" s="206" t="s">
        <v>174</v>
      </c>
      <c r="H24" s="226"/>
    </row>
    <row r="25" spans="2:8">
      <c r="B25" s="206" t="s">
        <v>79</v>
      </c>
      <c r="C25" s="204" t="s">
        <v>941</v>
      </c>
      <c r="H25" s="226"/>
    </row>
    <row r="26" spans="2:8">
      <c r="B26" s="206" t="s">
        <v>80</v>
      </c>
      <c r="C26" s="594" t="s">
        <v>943</v>
      </c>
      <c r="H26" s="226"/>
    </row>
    <row r="27" spans="2:8">
      <c r="B27" s="206"/>
      <c r="H27" s="226"/>
    </row>
    <row r="28" spans="2:8">
      <c r="B28" s="206"/>
      <c r="H28" s="226"/>
    </row>
    <row r="29" spans="2:8">
      <c r="B29" s="206"/>
      <c r="H29" s="226"/>
    </row>
    <row r="30" spans="2:8">
      <c r="B30" s="206"/>
      <c r="H30" s="226"/>
    </row>
    <row r="31" spans="2:8">
      <c r="B31" s="206"/>
      <c r="H31" s="226"/>
    </row>
    <row r="32" spans="2:8">
      <c r="B32" s="206"/>
      <c r="H32" s="226"/>
    </row>
    <row r="33" spans="2:5">
      <c r="B33" s="206"/>
    </row>
    <row r="34" spans="2:5">
      <c r="B34" s="206"/>
      <c r="E34" s="205"/>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P134"/>
  <sheetViews>
    <sheetView zoomScale="80" zoomScaleNormal="80" workbookViewId="0">
      <selection activeCell="A49" sqref="A49"/>
    </sheetView>
  </sheetViews>
  <sheetFormatPr defaultColWidth="8.7265625" defaultRowHeight="13.2"/>
  <cols>
    <col min="1" max="1" width="5" style="1" bestFit="1" customWidth="1"/>
    <col min="2" max="2" width="6.08984375" style="27" customWidth="1"/>
    <col min="3" max="6" width="12.7265625" style="2" customWidth="1"/>
    <col min="7" max="7" width="1.7265625" style="27" customWidth="1"/>
    <col min="8" max="15" width="12.7265625" style="2" customWidth="1"/>
    <col min="16" max="16" width="10.7265625" style="2" customWidth="1"/>
    <col min="17" max="16384" width="8.7265625" style="2"/>
  </cols>
  <sheetData>
    <row r="1" spans="1:16">
      <c r="A1" s="779" t="s">
        <v>685</v>
      </c>
      <c r="B1" s="779"/>
      <c r="C1" s="779"/>
      <c r="D1" s="779"/>
      <c r="E1" s="779"/>
      <c r="F1" s="779"/>
      <c r="G1" s="779"/>
      <c r="H1" s="779"/>
      <c r="I1" s="779"/>
      <c r="J1" s="779"/>
      <c r="K1" s="779"/>
      <c r="L1" s="779"/>
      <c r="M1" s="779"/>
      <c r="N1" s="779"/>
      <c r="O1" s="779"/>
    </row>
    <row r="2" spans="1:16">
      <c r="A2" s="799" t="s">
        <v>686</v>
      </c>
      <c r="B2" s="799"/>
      <c r="C2" s="799"/>
      <c r="D2" s="799"/>
      <c r="E2" s="799"/>
      <c r="F2" s="799"/>
      <c r="G2" s="799"/>
      <c r="H2" s="799"/>
      <c r="I2" s="799"/>
      <c r="J2" s="799"/>
      <c r="K2" s="799"/>
      <c r="L2" s="799"/>
      <c r="M2" s="799"/>
      <c r="N2" s="799"/>
      <c r="O2" s="799"/>
    </row>
    <row r="3" spans="1:16">
      <c r="A3" s="800" t="str">
        <f>'Act Att-H'!C7</f>
        <v>Cheyenne Light, Fuel &amp; Power</v>
      </c>
      <c r="B3" s="800"/>
      <c r="C3" s="800"/>
      <c r="D3" s="800"/>
      <c r="E3" s="800"/>
      <c r="F3" s="800"/>
      <c r="G3" s="800"/>
      <c r="H3" s="800"/>
      <c r="I3" s="800"/>
      <c r="J3" s="800"/>
      <c r="K3" s="800"/>
      <c r="L3" s="800"/>
      <c r="M3" s="800"/>
      <c r="N3" s="800"/>
      <c r="O3" s="800"/>
    </row>
    <row r="4" spans="1:16">
      <c r="A4" s="5"/>
      <c r="C4" s="3"/>
      <c r="D4" s="3"/>
      <c r="E4" s="3"/>
      <c r="F4" s="3"/>
      <c r="G4" s="341"/>
      <c r="H4" s="3"/>
      <c r="I4" s="3"/>
      <c r="O4" s="188" t="s">
        <v>673</v>
      </c>
    </row>
    <row r="5" spans="1:16" ht="15" customHeight="1">
      <c r="A5" s="44"/>
      <c r="C5" s="46"/>
      <c r="D5" s="46"/>
      <c r="E5" s="46"/>
      <c r="F5" s="46"/>
      <c r="G5" s="342"/>
    </row>
    <row r="6" spans="1:16" s="311" customFormat="1">
      <c r="A6" s="345" t="s">
        <v>4</v>
      </c>
      <c r="G6" s="320"/>
      <c r="H6" s="353" t="s">
        <v>694</v>
      </c>
      <c r="I6" s="595" t="s">
        <v>948</v>
      </c>
      <c r="P6" s="2"/>
    </row>
    <row r="7" spans="1:16" s="311" customFormat="1">
      <c r="A7" s="343">
        <v>1</v>
      </c>
      <c r="B7" s="320"/>
      <c r="G7" s="320"/>
      <c r="H7" s="312" t="s">
        <v>687</v>
      </c>
      <c r="I7" s="333" t="s">
        <v>695</v>
      </c>
      <c r="J7" s="333"/>
      <c r="K7" s="336"/>
      <c r="L7" s="312" t="s">
        <v>687</v>
      </c>
      <c r="M7" s="333" t="s">
        <v>697</v>
      </c>
      <c r="N7" s="333"/>
      <c r="O7" s="359"/>
      <c r="P7" s="2"/>
    </row>
    <row r="8" spans="1:16" s="311" customFormat="1">
      <c r="A8" s="343">
        <f>A7+1</f>
        <v>2</v>
      </c>
      <c r="B8" s="320"/>
      <c r="G8" s="320"/>
      <c r="H8" s="313" t="s">
        <v>696</v>
      </c>
      <c r="I8" s="334" t="s">
        <v>688</v>
      </c>
      <c r="L8" s="313" t="s">
        <v>696</v>
      </c>
      <c r="M8" s="334" t="s">
        <v>688</v>
      </c>
      <c r="O8" s="314"/>
      <c r="P8" s="2"/>
    </row>
    <row r="9" spans="1:16" s="311" customFormat="1">
      <c r="A9" s="343">
        <f t="shared" ref="A9:A14" si="0">A8+1</f>
        <v>3</v>
      </c>
      <c r="B9" s="320"/>
      <c r="G9" s="320"/>
      <c r="H9" s="313" t="s">
        <v>689</v>
      </c>
      <c r="I9" s="335">
        <v>0</v>
      </c>
      <c r="J9" s="311" t="s">
        <v>636</v>
      </c>
      <c r="L9" s="313" t="s">
        <v>689</v>
      </c>
      <c r="M9" s="335">
        <v>0</v>
      </c>
      <c r="N9" s="311" t="s">
        <v>636</v>
      </c>
      <c r="O9" s="314"/>
      <c r="P9" s="2"/>
    </row>
    <row r="10" spans="1:16" s="311" customFormat="1">
      <c r="A10" s="343">
        <f t="shared" si="0"/>
        <v>4</v>
      </c>
      <c r="B10" s="320"/>
      <c r="G10" s="320"/>
      <c r="H10" s="313" t="s">
        <v>690</v>
      </c>
      <c r="I10" s="335">
        <v>0</v>
      </c>
      <c r="J10" s="311" t="s">
        <v>700</v>
      </c>
      <c r="L10" s="313" t="s">
        <v>690</v>
      </c>
      <c r="M10" s="335">
        <v>0</v>
      </c>
      <c r="N10" s="311" t="s">
        <v>700</v>
      </c>
      <c r="O10" s="314"/>
      <c r="P10" s="2"/>
    </row>
    <row r="11" spans="1:16" s="311" customFormat="1">
      <c r="A11" s="343">
        <f t="shared" si="0"/>
        <v>5</v>
      </c>
      <c r="B11" s="320"/>
      <c r="G11" s="320"/>
      <c r="H11" s="313" t="s">
        <v>713</v>
      </c>
      <c r="I11" s="315">
        <f>I10*'Act Att-H'!E214</f>
        <v>0</v>
      </c>
      <c r="L11" s="313" t="s">
        <v>713</v>
      </c>
      <c r="M11" s="315">
        <f>M10*'Act Att-H'!E214</f>
        <v>0</v>
      </c>
      <c r="O11" s="314"/>
      <c r="P11" s="2"/>
    </row>
    <row r="12" spans="1:16" s="311" customFormat="1">
      <c r="A12" s="343">
        <f t="shared" si="0"/>
        <v>6</v>
      </c>
      <c r="B12" s="320"/>
      <c r="G12" s="320"/>
      <c r="H12" s="313" t="s">
        <v>691</v>
      </c>
      <c r="I12" s="337"/>
      <c r="L12" s="313" t="s">
        <v>691</v>
      </c>
      <c r="M12" s="337"/>
      <c r="O12" s="314"/>
      <c r="P12" s="2"/>
    </row>
    <row r="13" spans="1:16" s="311" customFormat="1">
      <c r="A13" s="343">
        <f t="shared" si="0"/>
        <v>7</v>
      </c>
      <c r="G13" s="320"/>
      <c r="H13" s="313"/>
      <c r="L13" s="313"/>
      <c r="O13" s="314"/>
      <c r="P13" s="2"/>
    </row>
    <row r="14" spans="1:16" s="311" customFormat="1">
      <c r="A14" s="343">
        <f t="shared" si="0"/>
        <v>8</v>
      </c>
      <c r="B14" s="320"/>
      <c r="C14" s="798" t="s">
        <v>9</v>
      </c>
      <c r="D14" s="798"/>
      <c r="E14" s="798"/>
      <c r="F14" s="798"/>
      <c r="G14" s="320"/>
      <c r="H14" s="313"/>
      <c r="L14" s="313"/>
      <c r="O14" s="314"/>
      <c r="P14" s="2"/>
    </row>
    <row r="15" spans="1:16" s="311" customFormat="1">
      <c r="A15" s="320"/>
      <c r="B15" s="320"/>
      <c r="G15" s="320"/>
      <c r="H15" s="313"/>
      <c r="K15" s="311" t="s">
        <v>1132</v>
      </c>
      <c r="L15" s="313"/>
      <c r="O15" s="314" t="s">
        <v>1132</v>
      </c>
      <c r="P15" s="2"/>
    </row>
    <row r="16" spans="1:16" s="311" customFormat="1" ht="57" customHeight="1">
      <c r="A16" s="320"/>
      <c r="B16" s="340" t="s">
        <v>269</v>
      </c>
      <c r="C16" s="340" t="s">
        <v>692</v>
      </c>
      <c r="D16" s="340" t="s">
        <v>486</v>
      </c>
      <c r="E16" s="340" t="s">
        <v>693</v>
      </c>
      <c r="F16" s="340" t="s">
        <v>707</v>
      </c>
      <c r="G16" s="360"/>
      <c r="H16" s="319" t="s">
        <v>692</v>
      </c>
      <c r="I16" s="715" t="s">
        <v>1082</v>
      </c>
      <c r="J16" s="320" t="s">
        <v>693</v>
      </c>
      <c r="K16" s="715" t="s">
        <v>1134</v>
      </c>
      <c r="L16" s="319" t="s">
        <v>692</v>
      </c>
      <c r="M16" s="715" t="s">
        <v>1082</v>
      </c>
      <c r="N16" s="320" t="s">
        <v>693</v>
      </c>
      <c r="O16" s="716" t="s">
        <v>1134</v>
      </c>
      <c r="P16" s="2"/>
    </row>
    <row r="17" spans="1:16" s="311" customFormat="1">
      <c r="A17" s="320"/>
      <c r="B17" s="318" t="s">
        <v>157</v>
      </c>
      <c r="C17" s="318" t="s">
        <v>158</v>
      </c>
      <c r="D17" s="318" t="s">
        <v>703</v>
      </c>
      <c r="E17" s="318" t="s">
        <v>704</v>
      </c>
      <c r="F17" s="318" t="s">
        <v>705</v>
      </c>
      <c r="G17" s="316"/>
      <c r="H17" s="318" t="s">
        <v>715</v>
      </c>
      <c r="I17" s="684" t="s">
        <v>716</v>
      </c>
      <c r="J17" s="318" t="s">
        <v>717</v>
      </c>
      <c r="K17" s="717" t="s">
        <v>718</v>
      </c>
      <c r="L17" s="318" t="s">
        <v>719</v>
      </c>
      <c r="M17" s="684" t="s">
        <v>720</v>
      </c>
      <c r="N17" s="318" t="s">
        <v>721</v>
      </c>
      <c r="O17" s="717" t="s">
        <v>722</v>
      </c>
      <c r="P17" s="2"/>
    </row>
    <row r="18" spans="1:16" s="311" customFormat="1">
      <c r="A18" s="320"/>
      <c r="B18" s="320"/>
      <c r="G18" s="320"/>
      <c r="H18" s="319"/>
      <c r="I18" s="320"/>
      <c r="J18" s="320"/>
      <c r="K18" s="320"/>
      <c r="L18" s="319"/>
      <c r="M18" s="320"/>
      <c r="N18" s="320"/>
      <c r="O18" s="321"/>
      <c r="P18" s="2"/>
    </row>
    <row r="19" spans="1:16" s="311" customFormat="1">
      <c r="A19" s="343">
        <f>A14+1</f>
        <v>9</v>
      </c>
      <c r="B19" s="346" t="s">
        <v>1224</v>
      </c>
      <c r="C19" s="322">
        <f>+H19+L19</f>
        <v>0</v>
      </c>
      <c r="D19" s="322">
        <f>+I19+M19</f>
        <v>0</v>
      </c>
      <c r="E19" s="322">
        <f>+J19+N19</f>
        <v>0</v>
      </c>
      <c r="F19" s="322">
        <f>+K19+O19</f>
        <v>0</v>
      </c>
      <c r="G19" s="343"/>
      <c r="H19" s="338">
        <v>0</v>
      </c>
      <c r="I19" s="339">
        <v>0</v>
      </c>
      <c r="J19" s="685">
        <f>+H19-I19</f>
        <v>0</v>
      </c>
      <c r="K19" s="323">
        <f>ROUND(J19*I$11,2)</f>
        <v>0</v>
      </c>
      <c r="L19" s="338">
        <v>0</v>
      </c>
      <c r="M19" s="339">
        <v>0</v>
      </c>
      <c r="N19" s="685">
        <f>+L19-M19</f>
        <v>0</v>
      </c>
      <c r="O19" s="324">
        <f>ROUND(N19*M$11,2)</f>
        <v>0</v>
      </c>
      <c r="P19" s="2"/>
    </row>
    <row r="20" spans="1:16" s="311" customFormat="1">
      <c r="A20" s="343">
        <f t="shared" ref="A20:A42" si="1">A19+1</f>
        <v>10</v>
      </c>
      <c r="B20" s="346" t="s">
        <v>1224</v>
      </c>
      <c r="C20" s="322">
        <f t="shared" ref="C20:C42" si="2">+H20+L20</f>
        <v>0</v>
      </c>
      <c r="D20" s="322">
        <f t="shared" ref="D20:D42" si="3">+I20+M20</f>
        <v>0</v>
      </c>
      <c r="E20" s="322">
        <f t="shared" ref="E20:E42" si="4">+J20+N20</f>
        <v>0</v>
      </c>
      <c r="F20" s="322">
        <f t="shared" ref="F20:F42" si="5">+K20+O20</f>
        <v>0</v>
      </c>
      <c r="G20" s="343"/>
      <c r="H20" s="338">
        <v>0</v>
      </c>
      <c r="I20" s="685">
        <f>(H20*$I$9)+I19</f>
        <v>0</v>
      </c>
      <c r="J20" s="323">
        <f>+H20-I20</f>
        <v>0</v>
      </c>
      <c r="K20" s="323">
        <f t="shared" ref="K20:K42" si="6">ROUND(J20*I$11,2)</f>
        <v>0</v>
      </c>
      <c r="L20" s="338">
        <v>0</v>
      </c>
      <c r="M20" s="685">
        <f>(L20*$M$9)+M19</f>
        <v>0</v>
      </c>
      <c r="N20" s="323">
        <f>+L20-M20</f>
        <v>0</v>
      </c>
      <c r="O20" s="324">
        <f t="shared" ref="O20:O42" si="7">ROUND(N20*M$11,2)</f>
        <v>0</v>
      </c>
      <c r="P20" s="2"/>
    </row>
    <row r="21" spans="1:16" s="311" customFormat="1">
      <c r="A21" s="343">
        <f t="shared" si="1"/>
        <v>11</v>
      </c>
      <c r="B21" s="346" t="s">
        <v>1224</v>
      </c>
      <c r="C21" s="322">
        <f t="shared" si="2"/>
        <v>0</v>
      </c>
      <c r="D21" s="322">
        <f t="shared" si="3"/>
        <v>0</v>
      </c>
      <c r="E21" s="322">
        <f t="shared" si="4"/>
        <v>0</v>
      </c>
      <c r="F21" s="322">
        <f t="shared" si="5"/>
        <v>0</v>
      </c>
      <c r="G21" s="343"/>
      <c r="H21" s="338">
        <v>0</v>
      </c>
      <c r="I21" s="685">
        <f t="shared" ref="I21:I42" si="8">(H21*$I$9)+I20</f>
        <v>0</v>
      </c>
      <c r="J21" s="323">
        <f>+H21-I21</f>
        <v>0</v>
      </c>
      <c r="K21" s="323">
        <f t="shared" si="6"/>
        <v>0</v>
      </c>
      <c r="L21" s="338">
        <v>0</v>
      </c>
      <c r="M21" s="685">
        <f t="shared" ref="M21:M42" si="9">(L21*$M$9)+M20</f>
        <v>0</v>
      </c>
      <c r="N21" s="323">
        <f>+L21-M21</f>
        <v>0</v>
      </c>
      <c r="O21" s="324">
        <f t="shared" si="7"/>
        <v>0</v>
      </c>
      <c r="P21" s="2"/>
    </row>
    <row r="22" spans="1:16" s="311" customFormat="1">
      <c r="A22" s="343">
        <f t="shared" si="1"/>
        <v>12</v>
      </c>
      <c r="B22" s="346" t="s">
        <v>1224</v>
      </c>
      <c r="C22" s="322">
        <f t="shared" si="2"/>
        <v>0</v>
      </c>
      <c r="D22" s="322">
        <f t="shared" si="3"/>
        <v>0</v>
      </c>
      <c r="E22" s="322">
        <f t="shared" si="4"/>
        <v>0</v>
      </c>
      <c r="F22" s="322">
        <f t="shared" si="5"/>
        <v>0</v>
      </c>
      <c r="G22" s="343"/>
      <c r="H22" s="338">
        <v>0</v>
      </c>
      <c r="I22" s="685">
        <f t="shared" si="8"/>
        <v>0</v>
      </c>
      <c r="J22" s="323">
        <f>+H22-I22</f>
        <v>0</v>
      </c>
      <c r="K22" s="323">
        <f t="shared" si="6"/>
        <v>0</v>
      </c>
      <c r="L22" s="338">
        <v>0</v>
      </c>
      <c r="M22" s="685">
        <f t="shared" si="9"/>
        <v>0</v>
      </c>
      <c r="N22" s="323">
        <f>+L22-M22</f>
        <v>0</v>
      </c>
      <c r="O22" s="324">
        <f t="shared" si="7"/>
        <v>0</v>
      </c>
      <c r="P22" s="2"/>
    </row>
    <row r="23" spans="1:16" s="311" customFormat="1">
      <c r="A23" s="343">
        <f t="shared" si="1"/>
        <v>13</v>
      </c>
      <c r="B23" s="346" t="s">
        <v>1224</v>
      </c>
      <c r="C23" s="322">
        <f t="shared" si="2"/>
        <v>0</v>
      </c>
      <c r="D23" s="322">
        <f t="shared" si="3"/>
        <v>0</v>
      </c>
      <c r="E23" s="322">
        <f t="shared" si="4"/>
        <v>0</v>
      </c>
      <c r="F23" s="322">
        <f t="shared" si="5"/>
        <v>0</v>
      </c>
      <c r="G23" s="343"/>
      <c r="H23" s="338">
        <v>0</v>
      </c>
      <c r="I23" s="685">
        <f t="shared" si="8"/>
        <v>0</v>
      </c>
      <c r="J23" s="323">
        <f t="shared" ref="J23:J42" si="10">+H23-I23</f>
        <v>0</v>
      </c>
      <c r="K23" s="323">
        <f t="shared" si="6"/>
        <v>0</v>
      </c>
      <c r="L23" s="338">
        <v>0</v>
      </c>
      <c r="M23" s="685">
        <f t="shared" si="9"/>
        <v>0</v>
      </c>
      <c r="N23" s="323">
        <f t="shared" ref="N23:N42" si="11">+L23-M23</f>
        <v>0</v>
      </c>
      <c r="O23" s="324">
        <f t="shared" si="7"/>
        <v>0</v>
      </c>
      <c r="P23" s="2"/>
    </row>
    <row r="24" spans="1:16" s="311" customFormat="1">
      <c r="A24" s="343">
        <f t="shared" si="1"/>
        <v>14</v>
      </c>
      <c r="B24" s="346" t="s">
        <v>1224</v>
      </c>
      <c r="C24" s="322">
        <f t="shared" si="2"/>
        <v>0</v>
      </c>
      <c r="D24" s="322">
        <f t="shared" si="3"/>
        <v>0</v>
      </c>
      <c r="E24" s="322">
        <f t="shared" si="4"/>
        <v>0</v>
      </c>
      <c r="F24" s="322">
        <f t="shared" si="5"/>
        <v>0</v>
      </c>
      <c r="G24" s="343"/>
      <c r="H24" s="338">
        <v>0</v>
      </c>
      <c r="I24" s="685">
        <f t="shared" si="8"/>
        <v>0</v>
      </c>
      <c r="J24" s="323">
        <f t="shared" si="10"/>
        <v>0</v>
      </c>
      <c r="K24" s="323">
        <f t="shared" si="6"/>
        <v>0</v>
      </c>
      <c r="L24" s="338">
        <v>0</v>
      </c>
      <c r="M24" s="685">
        <f t="shared" si="9"/>
        <v>0</v>
      </c>
      <c r="N24" s="323">
        <f t="shared" si="11"/>
        <v>0</v>
      </c>
      <c r="O24" s="324">
        <f t="shared" si="7"/>
        <v>0</v>
      </c>
      <c r="P24" s="2"/>
    </row>
    <row r="25" spans="1:16" s="311" customFormat="1">
      <c r="A25" s="343">
        <f t="shared" si="1"/>
        <v>15</v>
      </c>
      <c r="B25" s="346" t="s">
        <v>1224</v>
      </c>
      <c r="C25" s="322">
        <f t="shared" si="2"/>
        <v>0</v>
      </c>
      <c r="D25" s="322">
        <f t="shared" si="3"/>
        <v>0</v>
      </c>
      <c r="E25" s="322">
        <f t="shared" si="4"/>
        <v>0</v>
      </c>
      <c r="F25" s="322">
        <f t="shared" si="5"/>
        <v>0</v>
      </c>
      <c r="G25" s="343"/>
      <c r="H25" s="338">
        <v>0</v>
      </c>
      <c r="I25" s="685">
        <f t="shared" si="8"/>
        <v>0</v>
      </c>
      <c r="J25" s="323">
        <f t="shared" si="10"/>
        <v>0</v>
      </c>
      <c r="K25" s="323">
        <f t="shared" si="6"/>
        <v>0</v>
      </c>
      <c r="L25" s="338">
        <v>0</v>
      </c>
      <c r="M25" s="685">
        <f t="shared" si="9"/>
        <v>0</v>
      </c>
      <c r="N25" s="323">
        <f t="shared" si="11"/>
        <v>0</v>
      </c>
      <c r="O25" s="324">
        <f t="shared" si="7"/>
        <v>0</v>
      </c>
      <c r="P25" s="2"/>
    </row>
    <row r="26" spans="1:16" s="311" customFormat="1">
      <c r="A26" s="343">
        <f t="shared" si="1"/>
        <v>16</v>
      </c>
      <c r="B26" s="346" t="s">
        <v>1224</v>
      </c>
      <c r="C26" s="322">
        <f t="shared" si="2"/>
        <v>0</v>
      </c>
      <c r="D26" s="322">
        <f t="shared" si="3"/>
        <v>0</v>
      </c>
      <c r="E26" s="322">
        <f t="shared" si="4"/>
        <v>0</v>
      </c>
      <c r="F26" s="322">
        <f t="shared" si="5"/>
        <v>0</v>
      </c>
      <c r="G26" s="343"/>
      <c r="H26" s="338">
        <v>0</v>
      </c>
      <c r="I26" s="685">
        <f t="shared" si="8"/>
        <v>0</v>
      </c>
      <c r="J26" s="323">
        <f t="shared" si="10"/>
        <v>0</v>
      </c>
      <c r="K26" s="323">
        <f t="shared" si="6"/>
        <v>0</v>
      </c>
      <c r="L26" s="338">
        <v>0</v>
      </c>
      <c r="M26" s="685">
        <f t="shared" si="9"/>
        <v>0</v>
      </c>
      <c r="N26" s="323">
        <f t="shared" si="11"/>
        <v>0</v>
      </c>
      <c r="O26" s="324">
        <f t="shared" si="7"/>
        <v>0</v>
      </c>
      <c r="P26" s="2"/>
    </row>
    <row r="27" spans="1:16" s="311" customFormat="1">
      <c r="A27" s="343">
        <f t="shared" si="1"/>
        <v>17</v>
      </c>
      <c r="B27" s="346" t="s">
        <v>1224</v>
      </c>
      <c r="C27" s="322">
        <f t="shared" si="2"/>
        <v>0</v>
      </c>
      <c r="D27" s="322">
        <f t="shared" si="3"/>
        <v>0</v>
      </c>
      <c r="E27" s="322">
        <f t="shared" si="4"/>
        <v>0</v>
      </c>
      <c r="F27" s="322">
        <f t="shared" si="5"/>
        <v>0</v>
      </c>
      <c r="G27" s="343"/>
      <c r="H27" s="338">
        <v>0</v>
      </c>
      <c r="I27" s="685">
        <f t="shared" si="8"/>
        <v>0</v>
      </c>
      <c r="J27" s="323">
        <f t="shared" si="10"/>
        <v>0</v>
      </c>
      <c r="K27" s="323">
        <f t="shared" si="6"/>
        <v>0</v>
      </c>
      <c r="L27" s="338">
        <v>0</v>
      </c>
      <c r="M27" s="685">
        <f t="shared" si="9"/>
        <v>0</v>
      </c>
      <c r="N27" s="323">
        <f t="shared" si="11"/>
        <v>0</v>
      </c>
      <c r="O27" s="324">
        <f t="shared" si="7"/>
        <v>0</v>
      </c>
      <c r="P27" s="2"/>
    </row>
    <row r="28" spans="1:16" s="311" customFormat="1">
      <c r="A28" s="343">
        <f t="shared" si="1"/>
        <v>18</v>
      </c>
      <c r="B28" s="346" t="s">
        <v>1224</v>
      </c>
      <c r="C28" s="322">
        <f t="shared" si="2"/>
        <v>0</v>
      </c>
      <c r="D28" s="322">
        <f t="shared" si="3"/>
        <v>0</v>
      </c>
      <c r="E28" s="322">
        <f t="shared" si="4"/>
        <v>0</v>
      </c>
      <c r="F28" s="322">
        <f t="shared" si="5"/>
        <v>0</v>
      </c>
      <c r="G28" s="343"/>
      <c r="H28" s="338">
        <v>0</v>
      </c>
      <c r="I28" s="685">
        <f t="shared" si="8"/>
        <v>0</v>
      </c>
      <c r="J28" s="323">
        <f t="shared" si="10"/>
        <v>0</v>
      </c>
      <c r="K28" s="323">
        <f t="shared" si="6"/>
        <v>0</v>
      </c>
      <c r="L28" s="338">
        <v>0</v>
      </c>
      <c r="M28" s="685">
        <f t="shared" si="9"/>
        <v>0</v>
      </c>
      <c r="N28" s="323">
        <f t="shared" si="11"/>
        <v>0</v>
      </c>
      <c r="O28" s="324">
        <f t="shared" si="7"/>
        <v>0</v>
      </c>
      <c r="P28" s="2"/>
    </row>
    <row r="29" spans="1:16" s="311" customFormat="1">
      <c r="A29" s="343">
        <f t="shared" si="1"/>
        <v>19</v>
      </c>
      <c r="B29" s="346" t="s">
        <v>1224</v>
      </c>
      <c r="C29" s="322">
        <f t="shared" si="2"/>
        <v>0</v>
      </c>
      <c r="D29" s="322">
        <f t="shared" si="3"/>
        <v>0</v>
      </c>
      <c r="E29" s="322">
        <f t="shared" si="4"/>
        <v>0</v>
      </c>
      <c r="F29" s="322">
        <f t="shared" si="5"/>
        <v>0</v>
      </c>
      <c r="G29" s="343"/>
      <c r="H29" s="338">
        <v>0</v>
      </c>
      <c r="I29" s="685">
        <f t="shared" si="8"/>
        <v>0</v>
      </c>
      <c r="J29" s="323">
        <f t="shared" si="10"/>
        <v>0</v>
      </c>
      <c r="K29" s="323">
        <f t="shared" si="6"/>
        <v>0</v>
      </c>
      <c r="L29" s="338">
        <v>0</v>
      </c>
      <c r="M29" s="685">
        <f t="shared" si="9"/>
        <v>0</v>
      </c>
      <c r="N29" s="323">
        <f t="shared" si="11"/>
        <v>0</v>
      </c>
      <c r="O29" s="324">
        <f t="shared" si="7"/>
        <v>0</v>
      </c>
      <c r="P29" s="2"/>
    </row>
    <row r="30" spans="1:16" s="311" customFormat="1">
      <c r="A30" s="343">
        <f t="shared" si="1"/>
        <v>20</v>
      </c>
      <c r="B30" s="346" t="s">
        <v>1224</v>
      </c>
      <c r="C30" s="322">
        <f t="shared" si="2"/>
        <v>0</v>
      </c>
      <c r="D30" s="322">
        <f t="shared" si="3"/>
        <v>0</v>
      </c>
      <c r="E30" s="322">
        <f t="shared" si="4"/>
        <v>0</v>
      </c>
      <c r="F30" s="322">
        <f t="shared" si="5"/>
        <v>0</v>
      </c>
      <c r="G30" s="343"/>
      <c r="H30" s="338">
        <v>0</v>
      </c>
      <c r="I30" s="685">
        <f t="shared" si="8"/>
        <v>0</v>
      </c>
      <c r="J30" s="323">
        <f t="shared" si="10"/>
        <v>0</v>
      </c>
      <c r="K30" s="323">
        <f t="shared" si="6"/>
        <v>0</v>
      </c>
      <c r="L30" s="338">
        <v>0</v>
      </c>
      <c r="M30" s="685">
        <f t="shared" si="9"/>
        <v>0</v>
      </c>
      <c r="N30" s="323">
        <f t="shared" si="11"/>
        <v>0</v>
      </c>
      <c r="O30" s="324">
        <f t="shared" si="7"/>
        <v>0</v>
      </c>
      <c r="P30" s="2"/>
    </row>
    <row r="31" spans="1:16" s="311" customFormat="1">
      <c r="A31" s="343">
        <f t="shared" si="1"/>
        <v>21</v>
      </c>
      <c r="B31" s="346" t="s">
        <v>1224</v>
      </c>
      <c r="C31" s="322">
        <f t="shared" si="2"/>
        <v>0</v>
      </c>
      <c r="D31" s="322">
        <f t="shared" si="3"/>
        <v>0</v>
      </c>
      <c r="E31" s="322">
        <f t="shared" si="4"/>
        <v>0</v>
      </c>
      <c r="F31" s="322">
        <f t="shared" si="5"/>
        <v>0</v>
      </c>
      <c r="G31" s="343"/>
      <c r="H31" s="338">
        <v>0</v>
      </c>
      <c r="I31" s="685">
        <f t="shared" si="8"/>
        <v>0</v>
      </c>
      <c r="J31" s="323">
        <f t="shared" si="10"/>
        <v>0</v>
      </c>
      <c r="K31" s="323">
        <f t="shared" si="6"/>
        <v>0</v>
      </c>
      <c r="L31" s="338">
        <v>0</v>
      </c>
      <c r="M31" s="685">
        <f t="shared" si="9"/>
        <v>0</v>
      </c>
      <c r="N31" s="323">
        <f t="shared" si="11"/>
        <v>0</v>
      </c>
      <c r="O31" s="324">
        <f t="shared" si="7"/>
        <v>0</v>
      </c>
      <c r="P31" s="2"/>
    </row>
    <row r="32" spans="1:16" s="311" customFormat="1">
      <c r="A32" s="343">
        <f t="shared" si="1"/>
        <v>22</v>
      </c>
      <c r="B32" s="346" t="s">
        <v>1224</v>
      </c>
      <c r="C32" s="322">
        <f t="shared" si="2"/>
        <v>0</v>
      </c>
      <c r="D32" s="322">
        <f t="shared" si="3"/>
        <v>0</v>
      </c>
      <c r="E32" s="322">
        <f t="shared" si="4"/>
        <v>0</v>
      </c>
      <c r="F32" s="322">
        <f t="shared" si="5"/>
        <v>0</v>
      </c>
      <c r="G32" s="343"/>
      <c r="H32" s="338">
        <v>0</v>
      </c>
      <c r="I32" s="685">
        <f t="shared" si="8"/>
        <v>0</v>
      </c>
      <c r="J32" s="323">
        <f t="shared" si="10"/>
        <v>0</v>
      </c>
      <c r="K32" s="323">
        <f t="shared" si="6"/>
        <v>0</v>
      </c>
      <c r="L32" s="338">
        <v>0</v>
      </c>
      <c r="M32" s="685">
        <f t="shared" si="9"/>
        <v>0</v>
      </c>
      <c r="N32" s="323">
        <f t="shared" si="11"/>
        <v>0</v>
      </c>
      <c r="O32" s="324">
        <f t="shared" si="7"/>
        <v>0</v>
      </c>
      <c r="P32" s="2"/>
    </row>
    <row r="33" spans="1:16" s="311" customFormat="1">
      <c r="A33" s="343">
        <f t="shared" si="1"/>
        <v>23</v>
      </c>
      <c r="B33" s="346" t="s">
        <v>1224</v>
      </c>
      <c r="C33" s="322">
        <f t="shared" si="2"/>
        <v>0</v>
      </c>
      <c r="D33" s="322">
        <f t="shared" si="3"/>
        <v>0</v>
      </c>
      <c r="E33" s="322">
        <f t="shared" si="4"/>
        <v>0</v>
      </c>
      <c r="F33" s="322">
        <f t="shared" si="5"/>
        <v>0</v>
      </c>
      <c r="G33" s="343"/>
      <c r="H33" s="338">
        <v>0</v>
      </c>
      <c r="I33" s="685">
        <f t="shared" si="8"/>
        <v>0</v>
      </c>
      <c r="J33" s="323">
        <f t="shared" si="10"/>
        <v>0</v>
      </c>
      <c r="K33" s="323">
        <f t="shared" si="6"/>
        <v>0</v>
      </c>
      <c r="L33" s="338">
        <v>0</v>
      </c>
      <c r="M33" s="685">
        <f t="shared" si="9"/>
        <v>0</v>
      </c>
      <c r="N33" s="323">
        <f t="shared" si="11"/>
        <v>0</v>
      </c>
      <c r="O33" s="324">
        <f t="shared" si="7"/>
        <v>0</v>
      </c>
      <c r="P33" s="2"/>
    </row>
    <row r="34" spans="1:16" s="311" customFormat="1">
      <c r="A34" s="343">
        <f t="shared" si="1"/>
        <v>24</v>
      </c>
      <c r="B34" s="346" t="s">
        <v>1224</v>
      </c>
      <c r="C34" s="322">
        <f t="shared" si="2"/>
        <v>0</v>
      </c>
      <c r="D34" s="322">
        <f t="shared" si="3"/>
        <v>0</v>
      </c>
      <c r="E34" s="322">
        <f t="shared" si="4"/>
        <v>0</v>
      </c>
      <c r="F34" s="322">
        <f t="shared" si="5"/>
        <v>0</v>
      </c>
      <c r="G34" s="343"/>
      <c r="H34" s="338">
        <v>0</v>
      </c>
      <c r="I34" s="685">
        <f t="shared" si="8"/>
        <v>0</v>
      </c>
      <c r="J34" s="323">
        <f t="shared" si="10"/>
        <v>0</v>
      </c>
      <c r="K34" s="323">
        <f t="shared" si="6"/>
        <v>0</v>
      </c>
      <c r="L34" s="338">
        <v>0</v>
      </c>
      <c r="M34" s="685">
        <f t="shared" si="9"/>
        <v>0</v>
      </c>
      <c r="N34" s="323">
        <f t="shared" si="11"/>
        <v>0</v>
      </c>
      <c r="O34" s="324">
        <f t="shared" si="7"/>
        <v>0</v>
      </c>
      <c r="P34" s="2"/>
    </row>
    <row r="35" spans="1:16" s="311" customFormat="1">
      <c r="A35" s="343">
        <f t="shared" si="1"/>
        <v>25</v>
      </c>
      <c r="B35" s="346" t="s">
        <v>1224</v>
      </c>
      <c r="C35" s="322">
        <f t="shared" si="2"/>
        <v>0</v>
      </c>
      <c r="D35" s="322">
        <f t="shared" si="3"/>
        <v>0</v>
      </c>
      <c r="E35" s="322">
        <f t="shared" si="4"/>
        <v>0</v>
      </c>
      <c r="F35" s="322">
        <f t="shared" si="5"/>
        <v>0</v>
      </c>
      <c r="G35" s="343"/>
      <c r="H35" s="338">
        <v>0</v>
      </c>
      <c r="I35" s="685">
        <f t="shared" si="8"/>
        <v>0</v>
      </c>
      <c r="J35" s="323">
        <f t="shared" si="10"/>
        <v>0</v>
      </c>
      <c r="K35" s="323">
        <f t="shared" si="6"/>
        <v>0</v>
      </c>
      <c r="L35" s="338">
        <v>0</v>
      </c>
      <c r="M35" s="685">
        <f t="shared" si="9"/>
        <v>0</v>
      </c>
      <c r="N35" s="323">
        <f t="shared" si="11"/>
        <v>0</v>
      </c>
      <c r="O35" s="324">
        <f t="shared" si="7"/>
        <v>0</v>
      </c>
      <c r="P35" s="2"/>
    </row>
    <row r="36" spans="1:16" s="311" customFormat="1">
      <c r="A36" s="343">
        <f t="shared" si="1"/>
        <v>26</v>
      </c>
      <c r="B36" s="346" t="s">
        <v>1224</v>
      </c>
      <c r="C36" s="322">
        <f t="shared" si="2"/>
        <v>0</v>
      </c>
      <c r="D36" s="322">
        <f t="shared" si="3"/>
        <v>0</v>
      </c>
      <c r="E36" s="322">
        <f t="shared" si="4"/>
        <v>0</v>
      </c>
      <c r="F36" s="322">
        <f t="shared" si="5"/>
        <v>0</v>
      </c>
      <c r="G36" s="343"/>
      <c r="H36" s="338">
        <v>0</v>
      </c>
      <c r="I36" s="685">
        <f t="shared" si="8"/>
        <v>0</v>
      </c>
      <c r="J36" s="323">
        <f t="shared" si="10"/>
        <v>0</v>
      </c>
      <c r="K36" s="323">
        <f t="shared" si="6"/>
        <v>0</v>
      </c>
      <c r="L36" s="338">
        <v>0</v>
      </c>
      <c r="M36" s="685">
        <f t="shared" si="9"/>
        <v>0</v>
      </c>
      <c r="N36" s="323">
        <f t="shared" si="11"/>
        <v>0</v>
      </c>
      <c r="O36" s="324">
        <f t="shared" si="7"/>
        <v>0</v>
      </c>
      <c r="P36" s="2"/>
    </row>
    <row r="37" spans="1:16" s="311" customFormat="1">
      <c r="A37" s="343">
        <f t="shared" si="1"/>
        <v>27</v>
      </c>
      <c r="B37" s="346" t="s">
        <v>1224</v>
      </c>
      <c r="C37" s="322">
        <f t="shared" si="2"/>
        <v>0</v>
      </c>
      <c r="D37" s="322">
        <f t="shared" si="3"/>
        <v>0</v>
      </c>
      <c r="E37" s="322">
        <f t="shared" si="4"/>
        <v>0</v>
      </c>
      <c r="F37" s="322">
        <f t="shared" si="5"/>
        <v>0</v>
      </c>
      <c r="G37" s="343"/>
      <c r="H37" s="338">
        <v>0</v>
      </c>
      <c r="I37" s="685">
        <f t="shared" si="8"/>
        <v>0</v>
      </c>
      <c r="J37" s="323">
        <f t="shared" si="10"/>
        <v>0</v>
      </c>
      <c r="K37" s="323">
        <f t="shared" si="6"/>
        <v>0</v>
      </c>
      <c r="L37" s="338">
        <v>0</v>
      </c>
      <c r="M37" s="685">
        <f t="shared" si="9"/>
        <v>0</v>
      </c>
      <c r="N37" s="323">
        <f t="shared" si="11"/>
        <v>0</v>
      </c>
      <c r="O37" s="324">
        <f t="shared" si="7"/>
        <v>0</v>
      </c>
      <c r="P37" s="2"/>
    </row>
    <row r="38" spans="1:16" s="311" customFormat="1">
      <c r="A38" s="343">
        <f t="shared" si="1"/>
        <v>28</v>
      </c>
      <c r="B38" s="346" t="s">
        <v>1224</v>
      </c>
      <c r="C38" s="322">
        <f t="shared" si="2"/>
        <v>0</v>
      </c>
      <c r="D38" s="322">
        <f t="shared" si="3"/>
        <v>0</v>
      </c>
      <c r="E38" s="322">
        <f t="shared" si="4"/>
        <v>0</v>
      </c>
      <c r="F38" s="322">
        <f t="shared" si="5"/>
        <v>0</v>
      </c>
      <c r="G38" s="343"/>
      <c r="H38" s="338">
        <v>0</v>
      </c>
      <c r="I38" s="685">
        <f t="shared" si="8"/>
        <v>0</v>
      </c>
      <c r="J38" s="323">
        <f t="shared" si="10"/>
        <v>0</v>
      </c>
      <c r="K38" s="323">
        <f t="shared" si="6"/>
        <v>0</v>
      </c>
      <c r="L38" s="338">
        <v>0</v>
      </c>
      <c r="M38" s="685">
        <f t="shared" si="9"/>
        <v>0</v>
      </c>
      <c r="N38" s="323">
        <f t="shared" si="11"/>
        <v>0</v>
      </c>
      <c r="O38" s="324">
        <f t="shared" si="7"/>
        <v>0</v>
      </c>
      <c r="P38" s="2"/>
    </row>
    <row r="39" spans="1:16" s="311" customFormat="1">
      <c r="A39" s="343">
        <f t="shared" si="1"/>
        <v>29</v>
      </c>
      <c r="B39" s="346" t="s">
        <v>1224</v>
      </c>
      <c r="C39" s="322">
        <f t="shared" si="2"/>
        <v>0</v>
      </c>
      <c r="D39" s="322">
        <f t="shared" si="3"/>
        <v>0</v>
      </c>
      <c r="E39" s="322">
        <f t="shared" si="4"/>
        <v>0</v>
      </c>
      <c r="F39" s="322">
        <f t="shared" si="5"/>
        <v>0</v>
      </c>
      <c r="G39" s="343"/>
      <c r="H39" s="338">
        <v>0</v>
      </c>
      <c r="I39" s="685">
        <f t="shared" si="8"/>
        <v>0</v>
      </c>
      <c r="J39" s="323">
        <f t="shared" si="10"/>
        <v>0</v>
      </c>
      <c r="K39" s="323">
        <f t="shared" si="6"/>
        <v>0</v>
      </c>
      <c r="L39" s="338">
        <v>0</v>
      </c>
      <c r="M39" s="685">
        <f t="shared" si="9"/>
        <v>0</v>
      </c>
      <c r="N39" s="323">
        <f t="shared" si="11"/>
        <v>0</v>
      </c>
      <c r="O39" s="324">
        <f t="shared" si="7"/>
        <v>0</v>
      </c>
      <c r="P39" s="2"/>
    </row>
    <row r="40" spans="1:16" s="311" customFormat="1">
      <c r="A40" s="343">
        <f t="shared" si="1"/>
        <v>30</v>
      </c>
      <c r="B40" s="346" t="s">
        <v>1224</v>
      </c>
      <c r="C40" s="322">
        <f t="shared" si="2"/>
        <v>0</v>
      </c>
      <c r="D40" s="322">
        <f t="shared" si="3"/>
        <v>0</v>
      </c>
      <c r="E40" s="322">
        <f t="shared" si="4"/>
        <v>0</v>
      </c>
      <c r="F40" s="322">
        <f t="shared" si="5"/>
        <v>0</v>
      </c>
      <c r="G40" s="343"/>
      <c r="H40" s="338">
        <v>0</v>
      </c>
      <c r="I40" s="685">
        <f t="shared" si="8"/>
        <v>0</v>
      </c>
      <c r="J40" s="323">
        <f t="shared" si="10"/>
        <v>0</v>
      </c>
      <c r="K40" s="323">
        <f t="shared" si="6"/>
        <v>0</v>
      </c>
      <c r="L40" s="338">
        <v>0</v>
      </c>
      <c r="M40" s="685">
        <f t="shared" si="9"/>
        <v>0</v>
      </c>
      <c r="N40" s="323">
        <f t="shared" si="11"/>
        <v>0</v>
      </c>
      <c r="O40" s="324">
        <f t="shared" si="7"/>
        <v>0</v>
      </c>
      <c r="P40" s="2"/>
    </row>
    <row r="41" spans="1:16" s="311" customFormat="1">
      <c r="A41" s="343">
        <f t="shared" si="1"/>
        <v>31</v>
      </c>
      <c r="B41" s="346" t="s">
        <v>1224</v>
      </c>
      <c r="C41" s="322">
        <f t="shared" si="2"/>
        <v>0</v>
      </c>
      <c r="D41" s="322">
        <f t="shared" si="3"/>
        <v>0</v>
      </c>
      <c r="E41" s="322">
        <f t="shared" si="4"/>
        <v>0</v>
      </c>
      <c r="F41" s="322">
        <f t="shared" si="5"/>
        <v>0</v>
      </c>
      <c r="G41" s="343"/>
      <c r="H41" s="338">
        <v>0</v>
      </c>
      <c r="I41" s="685">
        <f t="shared" si="8"/>
        <v>0</v>
      </c>
      <c r="J41" s="323">
        <f t="shared" si="10"/>
        <v>0</v>
      </c>
      <c r="K41" s="323">
        <f t="shared" si="6"/>
        <v>0</v>
      </c>
      <c r="L41" s="338">
        <v>0</v>
      </c>
      <c r="M41" s="685">
        <f t="shared" si="9"/>
        <v>0</v>
      </c>
      <c r="N41" s="323">
        <f t="shared" si="11"/>
        <v>0</v>
      </c>
      <c r="O41" s="324">
        <f t="shared" si="7"/>
        <v>0</v>
      </c>
      <c r="P41" s="2"/>
    </row>
    <row r="42" spans="1:16" s="311" customFormat="1">
      <c r="A42" s="343">
        <f t="shared" si="1"/>
        <v>32</v>
      </c>
      <c r="B42" s="346" t="s">
        <v>1224</v>
      </c>
      <c r="C42" s="322">
        <f t="shared" si="2"/>
        <v>0</v>
      </c>
      <c r="D42" s="322">
        <f t="shared" si="3"/>
        <v>0</v>
      </c>
      <c r="E42" s="322">
        <f t="shared" si="4"/>
        <v>0</v>
      </c>
      <c r="F42" s="322">
        <f t="shared" si="5"/>
        <v>0</v>
      </c>
      <c r="G42" s="343"/>
      <c r="H42" s="338">
        <v>0</v>
      </c>
      <c r="I42" s="685">
        <f t="shared" si="8"/>
        <v>0</v>
      </c>
      <c r="J42" s="323">
        <f t="shared" si="10"/>
        <v>0</v>
      </c>
      <c r="K42" s="323">
        <f t="shared" si="6"/>
        <v>0</v>
      </c>
      <c r="L42" s="338">
        <v>0</v>
      </c>
      <c r="M42" s="685">
        <f t="shared" si="9"/>
        <v>0</v>
      </c>
      <c r="N42" s="323">
        <f t="shared" si="11"/>
        <v>0</v>
      </c>
      <c r="O42" s="324">
        <f t="shared" si="7"/>
        <v>0</v>
      </c>
      <c r="P42" s="2"/>
    </row>
    <row r="43" spans="1:16" s="311" customFormat="1">
      <c r="A43" s="320"/>
      <c r="B43" s="343"/>
      <c r="G43" s="343"/>
      <c r="H43" s="325"/>
      <c r="I43" s="326"/>
      <c r="J43" s="326"/>
      <c r="K43" s="326"/>
      <c r="L43" s="327"/>
      <c r="M43" s="326"/>
      <c r="N43" s="328"/>
      <c r="O43" s="329"/>
      <c r="P43" s="2"/>
    </row>
    <row r="44" spans="1:16" s="311" customFormat="1">
      <c r="A44" s="345" t="s">
        <v>174</v>
      </c>
      <c r="B44" s="343"/>
      <c r="G44" s="343"/>
      <c r="H44" s="330"/>
      <c r="I44" s="330"/>
      <c r="J44" s="330"/>
      <c r="K44" s="330"/>
      <c r="L44" s="331"/>
      <c r="M44" s="330"/>
      <c r="N44" s="332"/>
      <c r="O44" s="332"/>
      <c r="P44" s="2"/>
    </row>
    <row r="45" spans="1:16" s="311" customFormat="1">
      <c r="A45" s="320" t="s">
        <v>79</v>
      </c>
      <c r="B45" s="344" t="s">
        <v>698</v>
      </c>
      <c r="G45" s="343"/>
      <c r="H45" s="330"/>
      <c r="I45" s="330"/>
      <c r="J45" s="330"/>
      <c r="K45" s="330"/>
      <c r="L45" s="331"/>
      <c r="M45" s="330"/>
      <c r="N45" s="332"/>
      <c r="O45" s="332"/>
      <c r="P45" s="2"/>
    </row>
    <row r="46" spans="1:16" s="16" customFormat="1" ht="15" customHeight="1">
      <c r="A46" s="320" t="s">
        <v>80</v>
      </c>
      <c r="B46" s="344" t="s">
        <v>699</v>
      </c>
      <c r="C46" s="46"/>
      <c r="D46" s="46"/>
      <c r="E46" s="46"/>
      <c r="F46" s="46"/>
      <c r="G46" s="342"/>
      <c r="H46" s="2"/>
      <c r="I46" s="2"/>
      <c r="P46" s="2"/>
    </row>
    <row r="47" spans="1:16" s="16" customFormat="1">
      <c r="A47" s="320" t="s">
        <v>81</v>
      </c>
      <c r="B47" s="797" t="s">
        <v>1126</v>
      </c>
      <c r="C47" s="797"/>
      <c r="D47" s="797"/>
      <c r="E47" s="797"/>
      <c r="F47" s="797"/>
      <c r="G47" s="797"/>
      <c r="H47" s="797"/>
      <c r="I47" s="797"/>
      <c r="J47" s="797"/>
      <c r="K47" s="797"/>
      <c r="P47" s="2"/>
    </row>
    <row r="48" spans="1:16" ht="15" customHeight="1">
      <c r="A48" s="320" t="s">
        <v>82</v>
      </c>
      <c r="B48" s="344" t="s">
        <v>1133</v>
      </c>
      <c r="C48" s="46"/>
      <c r="D48" s="46"/>
      <c r="E48" s="46"/>
      <c r="F48" s="46"/>
      <c r="G48" s="342"/>
    </row>
    <row r="49" spans="1:7" ht="15" customHeight="1">
      <c r="A49" s="44"/>
      <c r="B49" s="45"/>
      <c r="C49" s="46"/>
      <c r="D49" s="46"/>
      <c r="E49" s="46"/>
      <c r="F49" s="46"/>
      <c r="G49" s="342"/>
    </row>
    <row r="50" spans="1:7" ht="15" customHeight="1">
      <c r="A50" s="44"/>
      <c r="B50" s="45"/>
      <c r="C50" s="46"/>
      <c r="D50" s="46"/>
      <c r="E50" s="46"/>
      <c r="F50" s="46"/>
      <c r="G50" s="342"/>
    </row>
    <row r="51" spans="1:7" ht="15" customHeight="1">
      <c r="A51" s="44"/>
      <c r="B51" s="45"/>
      <c r="C51" s="46"/>
      <c r="D51" s="46"/>
      <c r="E51" s="46"/>
      <c r="F51" s="46"/>
      <c r="G51" s="342"/>
    </row>
    <row r="52" spans="1:7" ht="15" customHeight="1">
      <c r="A52" s="44"/>
      <c r="B52" s="45"/>
      <c r="C52" s="46"/>
      <c r="D52" s="46"/>
      <c r="E52" s="46"/>
      <c r="F52" s="46"/>
      <c r="G52" s="342"/>
    </row>
    <row r="53" spans="1:7" ht="15" customHeight="1">
      <c r="A53" s="44"/>
      <c r="B53" s="45"/>
      <c r="C53" s="46"/>
      <c r="D53" s="46"/>
      <c r="E53" s="46"/>
      <c r="F53" s="46"/>
      <c r="G53" s="342"/>
    </row>
    <row r="54" spans="1:7">
      <c r="A54" s="44"/>
      <c r="B54" s="45"/>
      <c r="C54" s="46"/>
      <c r="D54" s="46"/>
      <c r="E54" s="46"/>
      <c r="F54" s="46"/>
      <c r="G54" s="342"/>
    </row>
    <row r="55" spans="1:7">
      <c r="A55" s="44"/>
      <c r="B55" s="45"/>
      <c r="C55" s="46"/>
      <c r="D55" s="46"/>
      <c r="E55" s="46"/>
      <c r="F55" s="46"/>
      <c r="G55" s="342"/>
    </row>
    <row r="56" spans="1:7">
      <c r="A56" s="44"/>
      <c r="B56" s="45"/>
      <c r="C56" s="46"/>
      <c r="D56" s="46"/>
      <c r="E56" s="46"/>
      <c r="F56" s="46"/>
      <c r="G56" s="342"/>
    </row>
    <row r="57" spans="1:7">
      <c r="A57" s="44"/>
      <c r="B57" s="45"/>
      <c r="C57" s="46"/>
      <c r="D57" s="46"/>
      <c r="E57" s="46"/>
      <c r="F57" s="46"/>
      <c r="G57" s="342"/>
    </row>
    <row r="58" spans="1:7">
      <c r="A58" s="44"/>
      <c r="B58" s="45"/>
      <c r="C58" s="46"/>
      <c r="D58" s="46"/>
      <c r="E58" s="46"/>
      <c r="F58" s="46"/>
      <c r="G58" s="342"/>
    </row>
    <row r="59" spans="1:7">
      <c r="A59" s="44"/>
      <c r="B59" s="45"/>
      <c r="C59" s="46"/>
      <c r="D59" s="46"/>
      <c r="E59" s="46"/>
      <c r="F59" s="46"/>
      <c r="G59" s="342"/>
    </row>
    <row r="60" spans="1:7">
      <c r="A60" s="44"/>
      <c r="B60" s="45"/>
      <c r="C60" s="46"/>
      <c r="D60" s="46"/>
      <c r="E60" s="46"/>
      <c r="F60" s="46"/>
      <c r="G60" s="342"/>
    </row>
    <row r="61" spans="1:7">
      <c r="A61" s="44"/>
      <c r="B61" s="45"/>
      <c r="C61" s="46"/>
      <c r="D61" s="46"/>
      <c r="E61" s="46"/>
      <c r="F61" s="46"/>
      <c r="G61" s="342"/>
    </row>
    <row r="62" spans="1:7">
      <c r="A62" s="44"/>
      <c r="B62" s="45"/>
      <c r="C62" s="46"/>
      <c r="D62" s="46"/>
      <c r="E62" s="46"/>
      <c r="F62" s="46"/>
      <c r="G62" s="342"/>
    </row>
    <row r="63" spans="1:7">
      <c r="A63" s="44"/>
      <c r="B63" s="45"/>
      <c r="C63" s="46"/>
      <c r="D63" s="46"/>
      <c r="E63" s="46"/>
      <c r="F63" s="46"/>
      <c r="G63" s="342"/>
    </row>
    <row r="64" spans="1:7">
      <c r="A64" s="44"/>
      <c r="B64" s="45"/>
      <c r="C64" s="46"/>
      <c r="D64" s="46"/>
      <c r="E64" s="46"/>
      <c r="F64" s="46"/>
      <c r="G64" s="342"/>
    </row>
    <row r="87" spans="1:12">
      <c r="J87" s="3"/>
    </row>
    <row r="88" spans="1:12">
      <c r="J88" s="3"/>
      <c r="L88" s="6"/>
    </row>
    <row r="89" spans="1:12">
      <c r="J89" s="3"/>
    </row>
    <row r="92" spans="1:12" ht="102" customHeight="1"/>
    <row r="93" spans="1:12" s="16" customFormat="1">
      <c r="A93" s="1"/>
      <c r="B93" s="27"/>
      <c r="C93" s="2"/>
      <c r="D93" s="2"/>
      <c r="E93" s="2"/>
      <c r="F93" s="2"/>
      <c r="G93" s="27"/>
      <c r="H93" s="2"/>
      <c r="I93" s="2"/>
    </row>
    <row r="94" spans="1:12" s="16" customFormat="1" ht="63.75" customHeight="1">
      <c r="A94" s="1"/>
      <c r="B94" s="27"/>
      <c r="C94" s="2"/>
      <c r="D94" s="2"/>
      <c r="E94" s="2"/>
      <c r="F94" s="2"/>
      <c r="G94" s="27"/>
      <c r="H94" s="2"/>
      <c r="I94" s="2"/>
    </row>
    <row r="110" spans="1:12" s="16" customFormat="1">
      <c r="A110" s="1"/>
      <c r="B110" s="27"/>
      <c r="C110" s="2"/>
      <c r="D110" s="2"/>
      <c r="E110" s="2"/>
      <c r="F110" s="2"/>
      <c r="G110" s="27"/>
      <c r="H110" s="2"/>
      <c r="I110" s="2"/>
      <c r="J110" s="2"/>
    </row>
    <row r="111" spans="1:12" s="16" customFormat="1">
      <c r="A111" s="1"/>
      <c r="B111" s="27"/>
      <c r="C111" s="2"/>
      <c r="D111" s="2"/>
      <c r="E111" s="2"/>
      <c r="F111" s="2"/>
      <c r="G111" s="27"/>
      <c r="H111" s="2"/>
      <c r="I111" s="2"/>
      <c r="J111" s="2"/>
      <c r="K111" s="2"/>
      <c r="L111" s="2"/>
    </row>
    <row r="112" spans="1:12" s="16" customFormat="1">
      <c r="A112" s="1"/>
      <c r="B112" s="27"/>
      <c r="C112" s="2"/>
      <c r="D112" s="2"/>
      <c r="E112" s="2"/>
      <c r="F112" s="2"/>
      <c r="G112" s="27"/>
      <c r="H112" s="2"/>
      <c r="I112" s="2"/>
      <c r="J112" s="2"/>
      <c r="L112" s="2"/>
    </row>
    <row r="113" spans="1:13" s="16" customFormat="1" ht="82.5" customHeight="1">
      <c r="A113" s="1"/>
      <c r="B113" s="27"/>
      <c r="C113" s="2"/>
      <c r="D113" s="2"/>
      <c r="E113" s="2"/>
      <c r="F113" s="2"/>
      <c r="G113" s="27"/>
      <c r="H113" s="2"/>
      <c r="I113" s="2"/>
      <c r="J113" s="29"/>
      <c r="K113" s="29"/>
      <c r="L113" s="29"/>
    </row>
    <row r="114" spans="1:13" s="16" customFormat="1">
      <c r="A114" s="1"/>
      <c r="B114" s="27"/>
      <c r="C114" s="2"/>
      <c r="D114" s="2"/>
      <c r="E114" s="2"/>
      <c r="F114" s="2"/>
      <c r="G114" s="27"/>
      <c r="H114" s="2"/>
      <c r="I114" s="2"/>
      <c r="J114" s="2"/>
      <c r="K114" s="2"/>
      <c r="L114" s="2"/>
    </row>
    <row r="115" spans="1:13" s="16" customFormat="1">
      <c r="A115" s="1"/>
      <c r="B115" s="27"/>
      <c r="C115" s="2"/>
      <c r="D115" s="2"/>
      <c r="E115" s="2"/>
      <c r="F115" s="2"/>
      <c r="G115" s="27"/>
      <c r="H115" s="2"/>
      <c r="I115" s="2"/>
      <c r="J115" s="2"/>
      <c r="K115" s="2"/>
      <c r="L115" s="2"/>
    </row>
    <row r="116" spans="1:13" s="16" customFormat="1">
      <c r="A116" s="1"/>
      <c r="B116" s="27"/>
      <c r="C116" s="2"/>
      <c r="D116" s="2"/>
      <c r="E116" s="2"/>
      <c r="F116" s="2"/>
      <c r="G116" s="27"/>
      <c r="H116" s="2"/>
      <c r="I116" s="2"/>
      <c r="J116" s="2"/>
      <c r="K116" s="2"/>
      <c r="L116" s="2"/>
    </row>
    <row r="117" spans="1:13" s="16" customFormat="1">
      <c r="A117" s="1"/>
      <c r="B117" s="27"/>
      <c r="C117" s="2"/>
      <c r="D117" s="2"/>
      <c r="E117" s="2"/>
      <c r="F117" s="2"/>
      <c r="G117" s="27"/>
      <c r="H117" s="2"/>
      <c r="I117" s="2"/>
      <c r="J117" s="2"/>
      <c r="K117" s="2"/>
      <c r="L117" s="2"/>
    </row>
    <row r="118" spans="1:13" s="16" customFormat="1">
      <c r="A118" s="1"/>
      <c r="B118" s="27"/>
      <c r="C118" s="2"/>
      <c r="D118" s="2"/>
      <c r="E118" s="2"/>
      <c r="F118" s="2"/>
      <c r="G118" s="27"/>
      <c r="H118" s="2"/>
      <c r="I118" s="2"/>
      <c r="J118" s="2"/>
      <c r="K118" s="2"/>
      <c r="L118" s="2"/>
    </row>
    <row r="119" spans="1:13" s="16" customFormat="1">
      <c r="A119" s="1"/>
      <c r="B119" s="27"/>
      <c r="C119" s="2"/>
      <c r="D119" s="2"/>
      <c r="E119" s="2"/>
      <c r="F119" s="2"/>
      <c r="G119" s="27"/>
      <c r="H119" s="2"/>
      <c r="I119" s="2"/>
      <c r="J119" s="2"/>
      <c r="K119" s="2"/>
      <c r="L119" s="2"/>
    </row>
    <row r="120" spans="1:13" s="16" customFormat="1">
      <c r="A120" s="1"/>
      <c r="B120" s="27"/>
      <c r="C120" s="2"/>
      <c r="D120" s="2"/>
      <c r="E120" s="2"/>
      <c r="F120" s="2"/>
      <c r="G120" s="27"/>
      <c r="H120" s="2"/>
      <c r="I120" s="2"/>
      <c r="J120" s="2"/>
      <c r="K120" s="2"/>
    </row>
    <row r="121" spans="1:13" s="16" customFormat="1">
      <c r="A121" s="1"/>
      <c r="B121" s="27"/>
      <c r="C121" s="2"/>
      <c r="D121" s="2"/>
      <c r="E121" s="2"/>
      <c r="F121" s="2"/>
      <c r="G121" s="27"/>
      <c r="H121" s="2"/>
      <c r="I121" s="2"/>
      <c r="J121" s="2"/>
      <c r="K121" s="2"/>
    </row>
    <row r="123" spans="1:13" ht="15" customHeight="1">
      <c r="J123" s="304"/>
      <c r="K123" s="304"/>
    </row>
    <row r="124" spans="1:13" ht="15" customHeight="1">
      <c r="J124" s="304"/>
      <c r="K124" s="304"/>
      <c r="L124" s="6"/>
    </row>
    <row r="125" spans="1:13" ht="30.75" customHeight="1">
      <c r="J125" s="47"/>
      <c r="K125" s="47"/>
    </row>
    <row r="126" spans="1:13">
      <c r="J126" s="47"/>
      <c r="K126" s="47"/>
    </row>
    <row r="127" spans="1:13">
      <c r="J127" s="48"/>
      <c r="K127" s="48"/>
      <c r="L127" s="48"/>
      <c r="M127" s="48"/>
    </row>
    <row r="129" spans="10:14" ht="30.75" customHeight="1">
      <c r="J129" s="305"/>
      <c r="K129" s="305"/>
      <c r="L129" s="305"/>
      <c r="M129" s="305"/>
      <c r="N129" s="305"/>
    </row>
    <row r="130" spans="10:14" ht="15" customHeight="1">
      <c r="J130" s="305"/>
      <c r="K130" s="305"/>
    </row>
    <row r="131" spans="10:14" ht="82.5" customHeight="1">
      <c r="J131" s="305"/>
      <c r="K131" s="305"/>
      <c r="L131" s="305"/>
      <c r="M131" s="305"/>
      <c r="N131" s="305"/>
    </row>
    <row r="132" spans="10:14" ht="15" customHeight="1">
      <c r="J132" s="50"/>
      <c r="K132" s="50"/>
    </row>
    <row r="133" spans="10:14">
      <c r="J133" s="50"/>
      <c r="K133" s="50"/>
    </row>
    <row r="134" spans="10:14" ht="69.75" customHeight="1">
      <c r="J134" s="50"/>
      <c r="K134" s="50"/>
    </row>
  </sheetData>
  <mergeCells count="5">
    <mergeCell ref="B47:K47"/>
    <mergeCell ref="C14:F14"/>
    <mergeCell ref="A1:O1"/>
    <mergeCell ref="A2:O2"/>
    <mergeCell ref="A3:O3"/>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2023-05-31T14:40:08Z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