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2 CUS Filing (2023 rate)\"/>
    </mc:Choice>
  </mc:AlternateContent>
  <xr:revisionPtr revIDLastSave="0" documentId="8_{8A909415-5719-416E-B80E-19C34B3FF17C}" xr6:coauthVersionLast="47" xr6:coauthVersionMax="47" xr10:uidLastSave="{00000000-0000-0000-0000-000000000000}"/>
  <bookViews>
    <workbookView xWindow="-120" yWindow="-120" windowWidth="29040" windowHeight="15840" tabRatio="893" xr2:uid="{00000000-000D-0000-FFFF-FFFF00000000}"/>
  </bookViews>
  <sheets>
    <sheet name="CU AC Rate Design" sheetId="41" r:id="rId1"/>
    <sheet name="Estimate" sheetId="35" r:id="rId2"/>
    <sheet name="BHP WP2 Capital Additions" sheetId="42" r:id="rId3"/>
    <sheet name="BHP WP3 Capital Additions" sheetId="43" r:id="rId4"/>
    <sheet name="BHP WP5 Depreciation Rates" sheetId="34" r:id="rId5"/>
    <sheet name="WP6 Rate Base" sheetId="37" r:id="rId6"/>
    <sheet name="WP7 CU AC LOADS" sheetId="24" r:id="rId7"/>
  </sheets>
  <definedNames>
    <definedName name="_xlnm.Print_Area" localSheetId="2">'BHP WP2 Capital Additions'!$B$1:$G$60</definedName>
    <definedName name="_xlnm.Print_Area" localSheetId="3">'BHP WP3 Capital Additions'!$A$1:$F$30</definedName>
    <definedName name="_xlnm.Print_Area" localSheetId="0">'CU AC Rate Design'!$A$1:$H$36</definedName>
    <definedName name="_xlnm.Print_Area" localSheetId="1">Estimate!$A$1:$K$234</definedName>
    <definedName name="_xlnm.Print_Area" localSheetId="5">'WP6 Rate Base'!$A$1:$R$65</definedName>
    <definedName name="_xlnm.Print_Area" localSheetId="6">'WP7 CU AC LOADS'!$A$1:$J$47</definedName>
    <definedName name="_xlnm.Print_Titles" localSheetId="5">'WP6 Rate Base'!$A:$A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42" l="1"/>
  <c r="B60" i="42" s="1"/>
  <c r="B61" i="42" s="1"/>
  <c r="B62" i="42" s="1"/>
  <c r="J22" i="24" l="1"/>
  <c r="J21" i="24"/>
  <c r="J20" i="24"/>
  <c r="J19" i="24"/>
  <c r="J18" i="24"/>
  <c r="J17" i="24"/>
  <c r="J16" i="24"/>
  <c r="J15" i="24"/>
  <c r="J14" i="24"/>
  <c r="J13" i="24"/>
  <c r="J12" i="24"/>
  <c r="J11" i="24"/>
  <c r="D180" i="35" l="1"/>
  <c r="D179" i="35"/>
  <c r="D107" i="35"/>
  <c r="D89" i="35"/>
  <c r="D67" i="35"/>
  <c r="D65" i="35"/>
  <c r="D56" i="35"/>
  <c r="D47" i="35"/>
  <c r="D46" i="35"/>
  <c r="D45" i="35"/>
  <c r="D44" i="35"/>
  <c r="D43" i="35"/>
  <c r="D42" i="35"/>
  <c r="D40" i="35"/>
  <c r="D39" i="35"/>
  <c r="D38" i="35"/>
  <c r="D35" i="35"/>
  <c r="D29" i="35"/>
  <c r="D24" i="35"/>
  <c r="H196" i="35" l="1"/>
  <c r="E90" i="35" l="1"/>
  <c r="E61" i="35" s="1"/>
  <c r="J140" i="35" l="1"/>
  <c r="J158" i="35"/>
  <c r="J58" i="35"/>
  <c r="F56" i="37"/>
  <c r="F12" i="41"/>
  <c r="E41" i="37"/>
  <c r="E40" i="37"/>
  <c r="E39" i="37"/>
  <c r="E38" i="37"/>
  <c r="E37" i="37"/>
  <c r="E36" i="37"/>
  <c r="E35" i="37"/>
  <c r="R25" i="37"/>
  <c r="F65" i="37"/>
  <c r="E65" i="37"/>
  <c r="E56" i="37"/>
  <c r="E55" i="35"/>
  <c r="E176" i="35"/>
  <c r="I44" i="24"/>
  <c r="H44" i="24"/>
  <c r="G44" i="24"/>
  <c r="F44" i="24"/>
  <c r="E44" i="24"/>
  <c r="D44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C95" i="35"/>
  <c r="C94" i="35"/>
  <c r="C40" i="35"/>
  <c r="F21" i="42"/>
  <c r="F25" i="43" s="1"/>
  <c r="E64" i="35"/>
  <c r="E63" i="35"/>
  <c r="E62" i="35"/>
  <c r="E54" i="35"/>
  <c r="E53" i="35"/>
  <c r="E52" i="35"/>
  <c r="E51" i="35"/>
  <c r="E50" i="35"/>
  <c r="E33" i="35"/>
  <c r="E31" i="35"/>
  <c r="E30" i="35"/>
  <c r="J165" i="35" s="1"/>
  <c r="J166" i="35" s="1"/>
  <c r="E28" i="35"/>
  <c r="E27" i="35"/>
  <c r="E23" i="35"/>
  <c r="J23" i="35" s="1"/>
  <c r="E22" i="35"/>
  <c r="E21" i="35"/>
  <c r="E20" i="35"/>
  <c r="E19" i="35"/>
  <c r="J147" i="35" s="1"/>
  <c r="E16" i="35"/>
  <c r="E15" i="35"/>
  <c r="A9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J24" i="24"/>
  <c r="D24" i="24"/>
  <c r="E24" i="24"/>
  <c r="F24" i="24"/>
  <c r="G24" i="24"/>
  <c r="H24" i="24"/>
  <c r="I24" i="24"/>
  <c r="R15" i="37"/>
  <c r="A16" i="37"/>
  <c r="A17" i="37" s="1"/>
  <c r="R16" i="37"/>
  <c r="R17" i="37"/>
  <c r="R19" i="37"/>
  <c r="R20" i="37"/>
  <c r="R21" i="37"/>
  <c r="E22" i="37"/>
  <c r="G22" i="37"/>
  <c r="H22" i="37"/>
  <c r="I22" i="37"/>
  <c r="J22" i="37"/>
  <c r="K22" i="37"/>
  <c r="L22" i="37"/>
  <c r="M22" i="37"/>
  <c r="N22" i="37"/>
  <c r="O22" i="37"/>
  <c r="P22" i="37"/>
  <c r="Q22" i="37"/>
  <c r="C25" i="37"/>
  <c r="C35" i="37" s="1"/>
  <c r="R26" i="37"/>
  <c r="R27" i="37"/>
  <c r="C28" i="37"/>
  <c r="C38" i="37" s="1"/>
  <c r="R28" i="37"/>
  <c r="C30" i="37"/>
  <c r="C40" i="37" s="1"/>
  <c r="R30" i="37"/>
  <c r="C31" i="37"/>
  <c r="C41" i="37" s="1"/>
  <c r="R31" i="37"/>
  <c r="E34" i="35"/>
  <c r="E46" i="35" s="1"/>
  <c r="E32" i="37"/>
  <c r="F32" i="37"/>
  <c r="G32" i="37"/>
  <c r="H32" i="37"/>
  <c r="I32" i="37"/>
  <c r="J32" i="37"/>
  <c r="K32" i="37"/>
  <c r="L32" i="37"/>
  <c r="M32" i="37"/>
  <c r="N32" i="37"/>
  <c r="O32" i="37"/>
  <c r="P32" i="37"/>
  <c r="F35" i="37"/>
  <c r="G35" i="37"/>
  <c r="H35" i="37"/>
  <c r="I35" i="37"/>
  <c r="J35" i="37"/>
  <c r="K35" i="37"/>
  <c r="L35" i="37"/>
  <c r="M35" i="37"/>
  <c r="N35" i="37"/>
  <c r="O35" i="37"/>
  <c r="P35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G38" i="37"/>
  <c r="H38" i="37"/>
  <c r="I38" i="37"/>
  <c r="J38" i="37"/>
  <c r="K38" i="37"/>
  <c r="L38" i="37"/>
  <c r="M38" i="37"/>
  <c r="N38" i="37"/>
  <c r="O38" i="37"/>
  <c r="P38" i="37"/>
  <c r="Q38" i="37"/>
  <c r="F39" i="37"/>
  <c r="G39" i="37"/>
  <c r="H39" i="37"/>
  <c r="I39" i="37"/>
  <c r="J39" i="37"/>
  <c r="K39" i="37"/>
  <c r="L39" i="37"/>
  <c r="M39" i="37"/>
  <c r="N39" i="37"/>
  <c r="O39" i="37"/>
  <c r="P39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0" i="37"/>
  <c r="G51" i="37"/>
  <c r="G52" i="37"/>
  <c r="G53" i="37"/>
  <c r="G54" i="37"/>
  <c r="G58" i="37"/>
  <c r="G62" i="37"/>
  <c r="G63" i="37"/>
  <c r="G64" i="37"/>
  <c r="F9" i="43"/>
  <c r="F10" i="43"/>
  <c r="F11" i="43"/>
  <c r="F12" i="43"/>
  <c r="F13" i="43"/>
  <c r="F16" i="43"/>
  <c r="F17" i="43"/>
  <c r="F18" i="43"/>
  <c r="F19" i="43"/>
  <c r="F20" i="43"/>
  <c r="G109" i="43"/>
  <c r="G110" i="43" s="1"/>
  <c r="B7" i="42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H114" i="42"/>
  <c r="H115" i="42" s="1"/>
  <c r="C27" i="35"/>
  <c r="G27" i="35"/>
  <c r="G50" i="35" s="1"/>
  <c r="G106" i="35" s="1"/>
  <c r="H27" i="35"/>
  <c r="C31" i="35"/>
  <c r="C43" i="35"/>
  <c r="G31" i="35"/>
  <c r="G32" i="35"/>
  <c r="C33" i="35"/>
  <c r="C45" i="35"/>
  <c r="G33" i="35"/>
  <c r="C34" i="35"/>
  <c r="C46" i="35" s="1"/>
  <c r="G34" i="35"/>
  <c r="H34" i="35"/>
  <c r="C38" i="35"/>
  <c r="G52" i="35"/>
  <c r="G53" i="35" s="1"/>
  <c r="G54" i="35" s="1"/>
  <c r="G55" i="35" s="1"/>
  <c r="J68" i="35"/>
  <c r="I69" i="35"/>
  <c r="J69" i="35"/>
  <c r="G77" i="35"/>
  <c r="G78" i="35"/>
  <c r="G82" i="35"/>
  <c r="J84" i="35"/>
  <c r="G85" i="35"/>
  <c r="G86" i="35" s="1"/>
  <c r="G87" i="35"/>
  <c r="G88" i="35"/>
  <c r="H89" i="35"/>
  <c r="J89" i="35" s="1"/>
  <c r="C93" i="35"/>
  <c r="C97" i="35"/>
  <c r="G103" i="35"/>
  <c r="G107" i="35"/>
  <c r="E108" i="35"/>
  <c r="E112" i="35"/>
  <c r="J124" i="35"/>
  <c r="I125" i="35"/>
  <c r="J125" i="35"/>
  <c r="E147" i="35"/>
  <c r="H174" i="35"/>
  <c r="H175" i="35"/>
  <c r="J193" i="35"/>
  <c r="J196" i="35"/>
  <c r="H197" i="35"/>
  <c r="J198" i="35"/>
  <c r="J200" i="35"/>
  <c r="I201" i="35"/>
  <c r="J201" i="35"/>
  <c r="D10" i="41"/>
  <c r="F13" i="41"/>
  <c r="F14" i="41"/>
  <c r="B22" i="41"/>
  <c r="B23" i="41"/>
  <c r="B24" i="41"/>
  <c r="A29" i="41"/>
  <c r="A30" i="41" s="1"/>
  <c r="A31" i="41" s="1"/>
  <c r="A32" i="41" s="1"/>
  <c r="A33" i="41" s="1"/>
  <c r="A34" i="41" s="1"/>
  <c r="B42" i="41"/>
  <c r="B44" i="41"/>
  <c r="B45" i="41"/>
  <c r="B46" i="41"/>
  <c r="A81" i="35"/>
  <c r="A82" i="35" s="1"/>
  <c r="A83" i="35" s="1"/>
  <c r="A84" i="35" s="1"/>
  <c r="A85" i="35" s="1"/>
  <c r="A86" i="35" s="1"/>
  <c r="A87" i="35" s="1"/>
  <c r="A88" i="35" s="1"/>
  <c r="A89" i="35" s="1"/>
  <c r="A90" i="35" s="1"/>
  <c r="G55" i="37"/>
  <c r="E45" i="35"/>
  <c r="J169" i="35"/>
  <c r="R41" i="37" l="1"/>
  <c r="R40" i="37"/>
  <c r="E43" i="35"/>
  <c r="E65" i="35"/>
  <c r="E42" i="37"/>
  <c r="J34" i="35"/>
  <c r="J46" i="35" s="1"/>
  <c r="I42" i="37"/>
  <c r="L42" i="37"/>
  <c r="H42" i="37"/>
  <c r="J42" i="37"/>
  <c r="E42" i="35"/>
  <c r="E180" i="35" s="1"/>
  <c r="E28" i="42"/>
  <c r="F28" i="42" s="1"/>
  <c r="E93" i="35"/>
  <c r="E38" i="35"/>
  <c r="G56" i="37"/>
  <c r="K42" i="37"/>
  <c r="E39" i="35"/>
  <c r="G42" i="37"/>
  <c r="O42" i="37"/>
  <c r="E96" i="35"/>
  <c r="G65" i="37"/>
  <c r="R36" i="37"/>
  <c r="Q35" i="37"/>
  <c r="R37" i="37"/>
  <c r="P42" i="37"/>
  <c r="B21" i="42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D61" i="35"/>
  <c r="A91" i="35"/>
  <c r="A92" i="35" s="1"/>
  <c r="A93" i="35" s="1"/>
  <c r="J148" i="35"/>
  <c r="J152" i="35"/>
  <c r="R29" i="37"/>
  <c r="R39" i="37" s="1"/>
  <c r="E32" i="35"/>
  <c r="E44" i="35" s="1"/>
  <c r="Q39" i="37"/>
  <c r="Q32" i="37"/>
  <c r="N42" i="37"/>
  <c r="A18" i="37"/>
  <c r="R35" i="37"/>
  <c r="C90" i="35"/>
  <c r="M42" i="37"/>
  <c r="H97" i="35"/>
  <c r="J97" i="35" s="1"/>
  <c r="E198" i="35"/>
  <c r="E199" i="35" s="1"/>
  <c r="F197" i="35" s="1"/>
  <c r="J197" i="35" s="1"/>
  <c r="J199" i="35" s="1"/>
  <c r="E113" i="35" s="1"/>
  <c r="J44" i="24"/>
  <c r="G22" i="41" s="1"/>
  <c r="E45" i="41" s="1"/>
  <c r="F15" i="41"/>
  <c r="G14" i="41" s="1"/>
  <c r="H14" i="41" s="1"/>
  <c r="E24" i="41" s="1"/>
  <c r="F24" i="41" s="1"/>
  <c r="Q42" i="37" l="1"/>
  <c r="B41" i="42"/>
  <c r="B42" i="42" s="1"/>
  <c r="G23" i="41"/>
  <c r="G13" i="41"/>
  <c r="H13" i="41" s="1"/>
  <c r="E23" i="41" s="1"/>
  <c r="C22" i="42"/>
  <c r="A19" i="37"/>
  <c r="A94" i="35"/>
  <c r="A95" i="35" s="1"/>
  <c r="A96" i="35" s="1"/>
  <c r="A97" i="35" s="1"/>
  <c r="A98" i="35" s="1"/>
  <c r="R32" i="37"/>
  <c r="G15" i="41"/>
  <c r="G12" i="41"/>
  <c r="H12" i="41" s="1"/>
  <c r="E22" i="41" s="1"/>
  <c r="F23" i="41" l="1"/>
  <c r="H23" i="41" s="1"/>
  <c r="E25" i="41"/>
  <c r="E43" i="41" s="1"/>
  <c r="H15" i="41"/>
  <c r="G24" i="41"/>
  <c r="H24" i="41" s="1"/>
  <c r="A20" i="37"/>
  <c r="B43" i="42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D55" i="42" s="1"/>
  <c r="A99" i="35"/>
  <c r="A100" i="35" s="1"/>
  <c r="A101" i="35" s="1"/>
  <c r="A102" i="35" s="1"/>
  <c r="C98" i="35"/>
  <c r="D54" i="42" l="1"/>
  <c r="A21" i="37"/>
  <c r="A103" i="35"/>
  <c r="A104" i="35" s="1"/>
  <c r="A105" i="35" s="1"/>
  <c r="A106" i="35" s="1"/>
  <c r="A107" i="35" s="1"/>
  <c r="A108" i="35" s="1"/>
  <c r="B55" i="42"/>
  <c r="D57" i="42" s="1"/>
  <c r="C108" i="35" l="1"/>
  <c r="A109" i="35"/>
  <c r="A110" i="35" s="1"/>
  <c r="A111" i="35" s="1"/>
  <c r="A112" i="35" s="1"/>
  <c r="A113" i="35" s="1"/>
  <c r="B56" i="42"/>
  <c r="B57" i="42" s="1"/>
  <c r="B58" i="42" s="1"/>
  <c r="A22" i="37"/>
  <c r="A23" i="37" s="1"/>
  <c r="A24" i="37" s="1"/>
  <c r="A25" i="37" s="1"/>
  <c r="D22" i="37"/>
  <c r="A114" i="35" l="1"/>
  <c r="A115" i="35" s="1"/>
  <c r="A116" i="35" s="1"/>
  <c r="A117" i="35" s="1"/>
  <c r="A26" i="37"/>
  <c r="D35" i="37"/>
  <c r="A118" i="35" l="1"/>
  <c r="A119" i="35" s="1"/>
  <c r="A120" i="35" s="1"/>
  <c r="C122" i="35"/>
  <c r="A27" i="37"/>
  <c r="D36" i="37"/>
  <c r="A28" i="37" l="1"/>
  <c r="D37" i="37"/>
  <c r="A121" i="35"/>
  <c r="A122" i="35" s="1"/>
  <c r="A136" i="35" s="1"/>
  <c r="D117" i="35"/>
  <c r="A137" i="35" l="1"/>
  <c r="A138" i="35" s="1"/>
  <c r="A139" i="35" s="1"/>
  <c r="A29" i="37"/>
  <c r="D38" i="37"/>
  <c r="A140" i="35" l="1"/>
  <c r="A141" i="35" s="1"/>
  <c r="A30" i="37"/>
  <c r="D39" i="37"/>
  <c r="C139" i="35"/>
  <c r="A142" i="35" l="1"/>
  <c r="A143" i="35" s="1"/>
  <c r="A144" i="35" s="1"/>
  <c r="A145" i="35" s="1"/>
  <c r="A146" i="35" s="1"/>
  <c r="A147" i="35" s="1"/>
  <c r="C141" i="35"/>
  <c r="A31" i="37"/>
  <c r="D40" i="37"/>
  <c r="A32" i="37" l="1"/>
  <c r="A33" i="37" s="1"/>
  <c r="A34" i="37" s="1"/>
  <c r="A35" i="37" s="1"/>
  <c r="D41" i="37"/>
  <c r="D32" i="37"/>
  <c r="A148" i="35"/>
  <c r="A149" i="35" s="1"/>
  <c r="A150" i="35" s="1"/>
  <c r="C152" i="35" s="1"/>
  <c r="C144" i="35"/>
  <c r="A151" i="35" l="1"/>
  <c r="A152" i="35" s="1"/>
  <c r="A153" i="35" s="1"/>
  <c r="A154" i="35" s="1"/>
  <c r="A155" i="35" s="1"/>
  <c r="C140" i="35"/>
  <c r="C142" i="35"/>
  <c r="C150" i="35"/>
  <c r="A36" i="37"/>
  <c r="A37" i="37" s="1"/>
  <c r="A38" i="37" s="1"/>
  <c r="A39" i="37" s="1"/>
  <c r="A40" i="37" s="1"/>
  <c r="A41" i="37" s="1"/>
  <c r="A42" i="37" s="1"/>
  <c r="A48" i="37" s="1"/>
  <c r="A49" i="37" s="1"/>
  <c r="A50" i="37" s="1"/>
  <c r="D42" i="37" l="1"/>
  <c r="A156" i="35"/>
  <c r="A157" i="35" s="1"/>
  <c r="A51" i="37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C157" i="35" l="1"/>
  <c r="A62" i="37"/>
  <c r="A63" i="37" s="1"/>
  <c r="A64" i="37" s="1"/>
  <c r="A65" i="37" s="1"/>
  <c r="A158" i="35"/>
  <c r="C159" i="35"/>
  <c r="D56" i="37"/>
  <c r="D65" i="37" l="1"/>
  <c r="A159" i="35"/>
  <c r="C160" i="35"/>
  <c r="A160" i="35" l="1"/>
  <c r="A161" i="35" s="1"/>
  <c r="A162" i="35" s="1"/>
  <c r="A163" i="35" s="1"/>
  <c r="A164" i="35" s="1"/>
  <c r="A165" i="35" s="1"/>
  <c r="C162" i="35" l="1"/>
  <c r="A166" i="35"/>
  <c r="A167" i="35" s="1"/>
  <c r="C167" i="35" l="1"/>
  <c r="A168" i="35"/>
  <c r="A169" i="35" s="1"/>
  <c r="A170" i="35" s="1"/>
  <c r="A171" i="35" s="1"/>
  <c r="A172" i="35" s="1"/>
  <c r="A173" i="35" s="1"/>
  <c r="A174" i="35" s="1"/>
  <c r="C169" i="35"/>
  <c r="C158" i="35"/>
  <c r="A175" i="35" l="1"/>
  <c r="A176" i="35" s="1"/>
  <c r="A177" i="35" s="1"/>
  <c r="A178" i="35" s="1"/>
  <c r="A179" i="35" s="1"/>
  <c r="C176" i="35"/>
  <c r="A180" i="35" l="1"/>
  <c r="A181" i="35" s="1"/>
  <c r="A182" i="35" s="1"/>
  <c r="A183" i="35" s="1"/>
  <c r="A184" i="35" s="1"/>
  <c r="A185" i="35" s="1"/>
  <c r="A186" i="35" s="1"/>
  <c r="A187" i="35" s="1"/>
  <c r="A188" i="35" s="1"/>
  <c r="A189" i="35" s="1"/>
  <c r="C181" i="35"/>
  <c r="A190" i="35" l="1"/>
  <c r="A191" i="35" s="1"/>
  <c r="A192" i="35" s="1"/>
  <c r="A193" i="35" s="1"/>
  <c r="E193" i="35" l="1"/>
  <c r="D198" i="35"/>
  <c r="A194" i="35"/>
  <c r="A195" i="35" s="1"/>
  <c r="A196" i="35" s="1"/>
  <c r="A197" i="35" l="1"/>
  <c r="A198" i="35" s="1"/>
  <c r="A199" i="35" s="1"/>
  <c r="C120" i="35" s="1"/>
  <c r="C199" i="35" l="1"/>
  <c r="C114" i="35"/>
  <c r="F20" i="42"/>
  <c r="F21" i="43"/>
  <c r="F15" i="43"/>
  <c r="F22" i="42" l="1"/>
  <c r="E94" i="35" s="1"/>
  <c r="E17" i="35"/>
  <c r="D23" i="43"/>
  <c r="F14" i="43"/>
  <c r="F23" i="43" s="1"/>
  <c r="F27" i="43" l="1"/>
  <c r="E95" i="35" s="1"/>
  <c r="E98" i="35" s="1"/>
  <c r="E122" i="35" s="1"/>
  <c r="E18" i="35"/>
  <c r="J136" i="35" s="1"/>
  <c r="E24" i="35" l="1"/>
  <c r="E41" i="35"/>
  <c r="J139" i="35" l="1"/>
  <c r="J141" i="35" s="1"/>
  <c r="J142" i="35"/>
  <c r="J144" i="35" l="1"/>
  <c r="H81" i="35" s="1"/>
  <c r="H63" i="35" l="1"/>
  <c r="J63" i="35" s="1"/>
  <c r="F173" i="35"/>
  <c r="H173" i="35" s="1"/>
  <c r="H176" i="35" s="1"/>
  <c r="J176" i="35" s="1"/>
  <c r="H102" i="35" s="1"/>
  <c r="H16" i="35"/>
  <c r="H17" i="35" s="1"/>
  <c r="G179" i="35"/>
  <c r="H93" i="35"/>
  <c r="J93" i="35" s="1"/>
  <c r="J81" i="35"/>
  <c r="H88" i="35"/>
  <c r="J88" i="35" s="1"/>
  <c r="H82" i="35"/>
  <c r="J82" i="35" s="1"/>
  <c r="H20" i="35" l="1"/>
  <c r="H21" i="35" s="1"/>
  <c r="J21" i="35" s="1"/>
  <c r="J16" i="35"/>
  <c r="H94" i="35"/>
  <c r="H95" i="35" s="1"/>
  <c r="J95" i="35" s="1"/>
  <c r="J102" i="35"/>
  <c r="H103" i="35"/>
  <c r="J103" i="35" s="1"/>
  <c r="J17" i="35"/>
  <c r="H18" i="35"/>
  <c r="J18" i="35" s="1"/>
  <c r="J41" i="35" s="1"/>
  <c r="J94" i="35" l="1"/>
  <c r="H31" i="35"/>
  <c r="J31" i="35" s="1"/>
  <c r="J20" i="35"/>
  <c r="E29" i="42"/>
  <c r="H32" i="35"/>
  <c r="J32" i="35" s="1"/>
  <c r="J44" i="35" s="1"/>
  <c r="J43" i="35" l="1"/>
  <c r="H83" i="35"/>
  <c r="H85" i="35" s="1"/>
  <c r="E30" i="42"/>
  <c r="F29" i="42"/>
  <c r="H87" i="35" l="1"/>
  <c r="J87" i="35" s="1"/>
  <c r="H96" i="35"/>
  <c r="J96" i="35" s="1"/>
  <c r="J98" i="35" s="1"/>
  <c r="J83" i="35"/>
  <c r="H86" i="35"/>
  <c r="J86" i="35" s="1"/>
  <c r="J85" i="35"/>
  <c r="E31" i="42"/>
  <c r="F30" i="42"/>
  <c r="J90" i="35" l="1"/>
  <c r="J61" i="35" s="1"/>
  <c r="E32" i="42"/>
  <c r="F31" i="42"/>
  <c r="F32" i="42" l="1"/>
  <c r="E33" i="42"/>
  <c r="E34" i="42" l="1"/>
  <c r="F33" i="42"/>
  <c r="E35" i="42" l="1"/>
  <c r="F34" i="42"/>
  <c r="E36" i="42" l="1"/>
  <c r="F35" i="42"/>
  <c r="F36" i="42" l="1"/>
  <c r="E37" i="42"/>
  <c r="E38" i="42" l="1"/>
  <c r="F37" i="42"/>
  <c r="E39" i="42" l="1"/>
  <c r="F38" i="42"/>
  <c r="F39" i="42" l="1"/>
  <c r="F40" i="42" s="1"/>
  <c r="E42" i="42"/>
  <c r="E43" i="42" l="1"/>
  <c r="F42" i="42"/>
  <c r="F43" i="42" l="1"/>
  <c r="E44" i="42"/>
  <c r="E45" i="42" l="1"/>
  <c r="F44" i="42"/>
  <c r="F45" i="42" l="1"/>
  <c r="E46" i="42"/>
  <c r="E47" i="42" l="1"/>
  <c r="F46" i="42"/>
  <c r="E48" i="42" l="1"/>
  <c r="F47" i="42"/>
  <c r="E49" i="42" l="1"/>
  <c r="F48" i="42"/>
  <c r="E50" i="42" l="1"/>
  <c r="F49" i="42"/>
  <c r="F50" i="42" l="1"/>
  <c r="E51" i="42"/>
  <c r="E52" i="42" l="1"/>
  <c r="F51" i="42"/>
  <c r="E53" i="42" l="1"/>
  <c r="F53" i="42" s="1"/>
  <c r="F52" i="42"/>
  <c r="F54" i="42" l="1"/>
  <c r="F55" i="42" s="1"/>
  <c r="F57" i="42" s="1"/>
  <c r="E29" i="35" s="1"/>
  <c r="J155" i="35" l="1"/>
  <c r="J160" i="35" s="1"/>
  <c r="E35" i="35"/>
  <c r="E47" i="35" s="1"/>
  <c r="E40" i="35"/>
  <c r="E179" i="35" s="1"/>
  <c r="E181" i="35" s="1"/>
  <c r="F180" i="35" l="1"/>
  <c r="F179" i="35"/>
  <c r="J157" i="35"/>
  <c r="J159" i="35" s="1"/>
  <c r="J162" i="35" l="1"/>
  <c r="H28" i="35" s="1"/>
  <c r="H29" i="35" s="1"/>
  <c r="F181" i="35"/>
  <c r="H179" i="35"/>
  <c r="J181" i="35" s="1"/>
  <c r="J29" i="35" l="1"/>
  <c r="J40" i="35" s="1"/>
  <c r="J28" i="35"/>
  <c r="J39" i="35" s="1"/>
  <c r="H22" i="35"/>
  <c r="H62" i="35"/>
  <c r="J62" i="35" s="1"/>
  <c r="J22" i="35" l="1"/>
  <c r="H33" i="35"/>
  <c r="J33" i="35" s="1"/>
  <c r="J35" i="35" s="1"/>
  <c r="J45" i="35" l="1"/>
  <c r="J47" i="35" s="1"/>
  <c r="H47" i="35" s="1"/>
  <c r="J24" i="35"/>
  <c r="H24" i="35" s="1"/>
  <c r="H64" i="35" l="1"/>
  <c r="J64" i="35" s="1"/>
  <c r="J65" i="35" s="1"/>
  <c r="H105" i="35"/>
  <c r="H51" i="35"/>
  <c r="H52" i="35"/>
  <c r="H53" i="35" l="1"/>
  <c r="H54" i="35"/>
  <c r="J52" i="35"/>
  <c r="J105" i="35"/>
  <c r="H107" i="35"/>
  <c r="J107" i="35" s="1"/>
  <c r="J53" i="35" l="1"/>
  <c r="J108" i="35"/>
  <c r="H55" i="35"/>
  <c r="J55" i="35" s="1"/>
  <c r="J54" i="35"/>
  <c r="J56" i="35" l="1"/>
  <c r="J67" i="35" s="1"/>
  <c r="J120" i="35" s="1"/>
  <c r="J117" i="35" s="1"/>
  <c r="J122" i="35" s="1"/>
  <c r="D22" i="41" s="1"/>
  <c r="F22" i="41" l="1"/>
  <c r="H22" i="41" s="1"/>
  <c r="D25" i="41"/>
  <c r="E42" i="41" s="1"/>
  <c r="H25" i="41" l="1"/>
  <c r="F28" i="41" s="1"/>
  <c r="H28" i="41" s="1"/>
  <c r="F25" i="41"/>
  <c r="E44" i="41" s="1"/>
  <c r="E46" i="41" s="1"/>
  <c r="F29" i="41" l="1"/>
  <c r="H29" i="41" s="1"/>
  <c r="F30" i="41"/>
  <c r="F32" i="41" l="1"/>
  <c r="F31" i="41"/>
  <c r="H30" i="41"/>
  <c r="F33" i="41" l="1"/>
  <c r="H33" i="41" s="1"/>
  <c r="H31" i="41"/>
  <c r="H32" i="41"/>
  <c r="F34" i="41"/>
  <c r="H34" i="41" s="1"/>
  <c r="F38" i="37"/>
  <c r="F22" i="37"/>
  <c r="R18" i="37"/>
  <c r="R38" i="37" l="1"/>
  <c r="F42" i="37"/>
  <c r="R22" i="37"/>
  <c r="R42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Kilpatrick</author>
  </authors>
  <commentList>
    <comment ref="D2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Wentz, Erin</author>
  </authors>
  <commentList>
    <comment ref="H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<sst xmlns="http://schemas.openxmlformats.org/spreadsheetml/2006/main" count="635" uniqueCount="403">
  <si>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</si>
  <si>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</si>
  <si>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</si>
  <si>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</si>
  <si>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</si>
  <si>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</si>
  <si>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</si>
  <si>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</si>
  <si>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</si>
  <si>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</si>
  <si>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</si>
  <si>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Total General Plant</t>
  </si>
  <si>
    <t>Tools, Shop and Garage Equipment</t>
  </si>
  <si>
    <t>Proprietary Capital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</si>
  <si>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</si>
  <si>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</si>
  <si>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</si>
  <si>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</si>
  <si>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</si>
  <si>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</si>
  <si>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</si>
  <si>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</si>
  <si>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</si>
  <si>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</si>
  <si>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</si>
  <si>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</si>
  <si>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</si>
  <si>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</si>
  <si>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</si>
  <si>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</si>
  <si>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</si>
  <si>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</si>
  <si>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</si>
  <si>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</si>
  <si>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</si>
  <si>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</si>
  <si>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</si>
  <si>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BHP</t>
  </si>
  <si>
    <t>Allocation of the Revenue Credits to the Common Use AC Facilities: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</si>
  <si>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</si>
  <si>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</si>
  <si>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</si>
  <si>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</si>
  <si>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</si>
  <si>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</si>
  <si>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</si>
  <si>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</si>
  <si>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</si>
  <si>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</si>
  <si>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</si>
  <si>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</si>
  <si>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</si>
  <si>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</si>
  <si>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</si>
  <si>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</si>
  <si>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</si>
  <si>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</si>
  <si>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</si>
  <si>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</si>
  <si>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</si>
  <si>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</si>
  <si>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</si>
  <si>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</si>
  <si>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</si>
  <si>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</si>
  <si>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</si>
  <si>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</si>
  <si>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</si>
  <si>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</si>
  <si>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</si>
  <si>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</si>
  <si>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</si>
  <si>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</si>
  <si>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</si>
  <si>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</si>
  <si>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</si>
  <si>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</si>
  <si>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</si>
  <si>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</si>
  <si>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</si>
  <si>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</si>
  <si>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</si>
  <si>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</si>
  <si>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</si>
  <si>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</si>
  <si>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</si>
  <si>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</si>
  <si>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</si>
  <si>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</si>
  <si>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</si>
  <si>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</si>
  <si>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</si>
  <si>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</si>
  <si>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</si>
  <si>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</si>
  <si>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</si>
  <si>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</si>
  <si>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</si>
  <si>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</si>
  <si>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</si>
  <si>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</si>
  <si>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</si>
  <si>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</si>
  <si>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</si>
  <si>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</si>
  <si>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</si>
  <si>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</si>
  <si>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</si>
  <si>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</si>
  <si>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</si>
  <si>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August</t>
  </si>
  <si>
    <t>October</t>
  </si>
  <si>
    <t>November</t>
  </si>
  <si>
    <t>January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</si>
  <si>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</si>
  <si>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</si>
  <si>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</si>
  <si>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</si>
  <si>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</si>
  <si>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</si>
  <si>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</si>
  <si>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</si>
  <si>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</si>
  <si>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</si>
  <si>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</si>
  <si>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</si>
  <si>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</si>
  <si>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</si>
  <si>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</si>
  <si>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</si>
  <si>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</si>
  <si>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</si>
  <si>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</si>
  <si>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</si>
  <si>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</si>
  <si>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</si>
  <si>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</si>
  <si>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</si>
  <si>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</si>
  <si>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</si>
  <si>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</si>
  <si>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</si>
  <si>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</si>
  <si>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</si>
  <si>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</si>
  <si>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</si>
  <si>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</si>
  <si>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</si>
  <si>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</si>
  <si>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</si>
  <si>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</si>
  <si>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</si>
  <si>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</si>
  <si>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</si>
  <si>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</si>
  <si>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</si>
  <si>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</si>
  <si>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</si>
  <si>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</si>
  <si>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</si>
  <si>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</si>
  <si>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</si>
  <si>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</si>
  <si>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</si>
  <si>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</si>
  <si>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</si>
  <si>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</si>
  <si>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</si>
  <si>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</si>
  <si>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</si>
  <si>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</si>
  <si>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</si>
  <si>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</si>
  <si>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</si>
  <si>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</si>
  <si>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</si>
  <si>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</si>
  <si>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</si>
  <si>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</si>
  <si>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</si>
  <si>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</si>
  <si>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</si>
  <si>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</si>
  <si>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</si>
  <si>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</si>
  <si>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</si>
  <si>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</si>
  <si>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</si>
  <si>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</si>
  <si>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</si>
  <si>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</si>
  <si>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</si>
  <si>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</si>
  <si>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</si>
  <si>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</si>
  <si>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</si>
  <si>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</si>
  <si>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</si>
  <si>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</si>
  <si>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</si>
  <si>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</si>
  <si>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</si>
  <si>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</si>
  <si>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</si>
  <si>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</si>
  <si>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</si>
  <si>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</si>
  <si>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</si>
  <si>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</si>
  <si>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</si>
  <si>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</si>
  <si>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</si>
  <si>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</si>
  <si>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</si>
  <si>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</si>
  <si>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</si>
  <si>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</si>
  <si>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</si>
  <si>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</si>
  <si>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</si>
  <si>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</si>
  <si>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</si>
  <si>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</si>
  <si>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</si>
  <si>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</si>
  <si>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</si>
  <si>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</si>
  <si>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</si>
  <si>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</si>
  <si>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</si>
  <si>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</si>
  <si>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</si>
  <si>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</si>
  <si>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</si>
  <si>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 xml:space="preserve">  Distribution </t>
  </si>
  <si>
    <t>WORKING CAPITAL  (Notes C &amp; H)</t>
  </si>
  <si>
    <t>Annual Rate</t>
  </si>
  <si>
    <t>Black Hills Power, Inc.</t>
  </si>
  <si>
    <t>Cost of Service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</si>
  <si>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</si>
  <si>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</si>
  <si>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</si>
  <si>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</si>
  <si>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</si>
  <si>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</si>
  <si>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</si>
  <si>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</si>
  <si>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</si>
  <si>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</si>
  <si>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</si>
  <si>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</si>
  <si>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</si>
  <si>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</si>
  <si>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</si>
  <si>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</si>
  <si>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</si>
  <si>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</si>
  <si>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</si>
  <si>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</si>
  <si>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</si>
  <si>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</si>
  <si>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</si>
  <si>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</si>
  <si>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</si>
  <si>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</si>
  <si>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</si>
  <si>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</si>
  <si>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</si>
  <si>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</si>
  <si>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</si>
  <si>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</si>
  <si>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</si>
  <si>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</si>
  <si>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</si>
  <si>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</si>
  <si>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</si>
  <si>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</si>
  <si>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</si>
  <si>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</si>
  <si>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</si>
  <si>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</si>
  <si>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</si>
  <si>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</si>
  <si>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</si>
  <si>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</si>
  <si>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</si>
  <si>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</si>
  <si>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</si>
  <si>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</si>
  <si>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</si>
  <si>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</si>
  <si>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</si>
  <si>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</si>
  <si>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</si>
  <si>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</si>
  <si>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</si>
  <si>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</si>
  <si>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</si>
  <si>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</si>
  <si>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</si>
  <si>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</si>
  <si>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</si>
  <si>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</si>
  <si>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</si>
  <si>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</si>
  <si>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</si>
  <si>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</si>
  <si>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</si>
  <si>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</si>
  <si>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</si>
  <si>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</si>
  <si>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</si>
  <si>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</si>
  <si>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207.99.g - line 6</t>
  </si>
  <si>
    <t>219.20-24.c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</si>
  <si>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</si>
  <si>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</si>
  <si>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</si>
  <si>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</si>
  <si>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Rates*</t>
  </si>
  <si>
    <t>Date</t>
  </si>
  <si>
    <t>(Note H)</t>
  </si>
  <si>
    <t>321.84-92.b &amp; 96.b</t>
  </si>
  <si>
    <t>336.7.b</t>
  </si>
  <si>
    <t>336.10.b &amp; 336.1.d&amp;e</t>
  </si>
  <si>
    <t>263.3i, 263.4i, 263.12i</t>
  </si>
  <si>
    <t>263.23i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</si>
  <si>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</si>
  <si>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</si>
  <si>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</si>
  <si>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</si>
  <si>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</si>
  <si>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Expense</t>
  </si>
  <si>
    <t>in Service</t>
  </si>
  <si>
    <t>Depreciation</t>
  </si>
  <si>
    <t>Asset Placed</t>
  </si>
  <si>
    <t>(Col A * Depr Rate/12)</t>
  </si>
  <si>
    <t>(A)</t>
  </si>
  <si>
    <t>Transmission Plant Depreciation Rate (WP 5 line 11)</t>
  </si>
  <si>
    <t>Monthly Additions to the CUS System (over $1,000,000)</t>
  </si>
  <si>
    <t>Amount Placed</t>
  </si>
  <si>
    <t xml:space="preserve"> WORKPAPER 2
CAPITAL ADDITIONS
BLACK HILLS POWER, INC.</t>
  </si>
  <si>
    <t>BHP-11 Page 6</t>
  </si>
  <si>
    <t>Annual Transmission Depreciation Expense (line 19 x line 21)</t>
  </si>
  <si>
    <t>Weighted Amount in Service</t>
  </si>
  <si>
    <t>Weighting</t>
  </si>
  <si>
    <t>Monthly Incremental Addition to the CUS System</t>
  </si>
  <si>
    <t>(D) = (B) * (C)/12</t>
  </si>
  <si>
    <t>(C)</t>
  </si>
  <si>
    <t>(B)</t>
  </si>
  <si>
    <t>WORKPAPER 3
CAPITAL ADDITIONS
BLACK HILLS POWER, INC.</t>
  </si>
  <si>
    <t>BHP-11 Page 7</t>
  </si>
  <si>
    <t>BHP-11 Page 11</t>
  </si>
  <si>
    <t>BHP-11 Page 9</t>
  </si>
  <si>
    <t>(line 4)</t>
  </si>
  <si>
    <t xml:space="preserve">  New Construction CUS Assets</t>
  </si>
  <si>
    <t>See Workpaper 2 (line 9)</t>
  </si>
  <si>
    <t>See Workpaper 3 (line 19 col D)</t>
  </si>
  <si>
    <t xml:space="preserve">  Additional Transmission Depr</t>
  </si>
  <si>
    <t>See Workpaper 2 (line 13)</t>
  </si>
  <si>
    <t>See Workpaper 3 (line 23)</t>
  </si>
  <si>
    <t>BHP-11 Page 8</t>
  </si>
  <si>
    <t>WORKPAPER 5
DEPRECIATION RATES
BLACK HILLS POWER, INC</t>
  </si>
  <si>
    <t>See Workpaper 4 (line 5 col 1)</t>
  </si>
  <si>
    <t>See Workpaper 5 (line 5)</t>
  </si>
  <si>
    <t>207.94g</t>
  </si>
  <si>
    <t>See Workpaper 4 (line 24 col 1)</t>
  </si>
  <si>
    <t>See Workpaper 5 (line 11)</t>
  </si>
  <si>
    <t>See Workpaper 4 (line 22 col 2)</t>
  </si>
  <si>
    <t>(Note A)</t>
  </si>
  <si>
    <t>214.x.d  (Notes B)</t>
  </si>
  <si>
    <t>(Workpaper 1 line 11)</t>
  </si>
  <si>
    <t>Column (3) lines 2 - 4</t>
  </si>
  <si>
    <t>Column (3) lines 14 - 15</t>
  </si>
  <si>
    <t>MW-year</t>
  </si>
  <si>
    <t>(232.1.f - 278.3.f)*0.21</t>
  </si>
  <si>
    <t>* The above rates were developed in June 2006. See Note I on tab: Estimate.</t>
  </si>
  <si>
    <t>214.x.d  (Notes B &amp; H on tab: Estimate)</t>
  </si>
  <si>
    <t>WORKING CAPITAL  EXCLUDING CASH WORKING CAPITAL (Notes C &amp; H on tab: Estimate)</t>
  </si>
  <si>
    <t>For the True-Up calculation only, Gross Plant, Accumulated Depreciation and Net Plant are based on the 13-monthly plant balances.</t>
  </si>
  <si>
    <t>ADJUSTMENTS TO RATE BASE       (Notes A &amp; H on tab: Estimate)</t>
  </si>
  <si>
    <t>(232.1.f - 278.1.f - 278.3.f)*.35</t>
  </si>
  <si>
    <r>
      <t>2022 Actual Load Data</t>
    </r>
    <r>
      <rPr>
        <b/>
        <vertAlign val="superscript"/>
        <sz val="12"/>
        <rFont val="Arial"/>
        <family val="2"/>
      </rPr>
      <t>1</t>
    </r>
  </si>
  <si>
    <r>
      <t>2023 Projected Load Data</t>
    </r>
    <r>
      <rPr>
        <b/>
        <vertAlign val="superscript"/>
        <sz val="12"/>
        <rFont val="Arial"/>
        <family val="2"/>
      </rPr>
      <t>2</t>
    </r>
  </si>
  <si>
    <t>FOR RATES EFFECTIVE JANUARY 1, 2023</t>
  </si>
  <si>
    <t>BHP-11 Page 1 
Date: September 30, 2022</t>
  </si>
  <si>
    <t>Amount based on actual calendar year 2021</t>
  </si>
  <si>
    <t>Projected 2023 Load</t>
  </si>
  <si>
    <t>Total 2022 CUS Transmission Assets Place in Service</t>
  </si>
  <si>
    <t>Transmission Accumulated Depreciation for 2022 &amp; 2023</t>
  </si>
  <si>
    <t>Subtotal of 2022 Increase for Accumulated Depreciation</t>
  </si>
  <si>
    <t xml:space="preserve">Jan-22 - See line 2 col 5 of Estimate </t>
  </si>
  <si>
    <t>See WP3 for additional information on 2023 Transmission Additions</t>
  </si>
  <si>
    <t>2023 Weighted Average Plant in Service Additions for projects over $1,000,000</t>
  </si>
  <si>
    <t>12/31/20 &amp; 12/31/21 average balance</t>
  </si>
  <si>
    <t>Note 1: The capital additions in March 2023 (line 8) are for the Bill Durfee to Hughes project.</t>
  </si>
  <si>
    <t>1 - Transmission actual load from OATI through July 2020.  Starting August 2020, actual load from Power Optix.</t>
  </si>
  <si>
    <t>Note 2: The capital additions in May 2023 (line 10) are for the 230 KV Lookout to Bill Durfee Phase 2 project.</t>
  </si>
  <si>
    <t>Note 3: The capital additions in June 2023 (line 11) are for the 230 KV Fall River Solar Interconnect.</t>
  </si>
  <si>
    <t>Note 2: The capital additions in June 2022 (line 8) are for the Lookout to Bill Durfee Phase 1 Project and reclass of the 230kV West Rapid City Substation from Transmission to Distribution.</t>
  </si>
  <si>
    <t>Note 3: The capital additions in July 2022 (line 9) are for the  Lookout to Bill Durfee Phase 1 Project.</t>
  </si>
  <si>
    <t>Note 4: The capital additions in September 2022 (line 11) are for the 230KV Hughes to Wyodak line.</t>
  </si>
  <si>
    <t>Note 1: The capital additions in January 2022 (line 3) are for the 230kV Lange to Lookout line and reclass of a 69kV Yellow Creek transformer from Transmission to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</si>
</sst>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* #,##0.0_);_(* \(#,##0.0\);_(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[$-409]mmmm\-yy;@"/>
    <numFmt numFmtId="181" formatCode="mmm\-yyyy"/>
    <numFmt numFmtId="182" formatCode="#,##0.000000"/>
    <numFmt numFmtId="183" formatCode="[$-409]mmm\-yy;@"/>
    <numFmt numFmtId="184" formatCode="&quot;$&quot;#,##0.0;[Red]\-&quot;$&quot;#,##0.0"/>
    <numFmt numFmtId="185" formatCode="00000"/>
    <numFmt numFmtId="186" formatCode="#,##0\ ;\(#,##0\);\-\ \ \ \ \ "/>
    <numFmt numFmtId="187" formatCode="#,##0\ ;\(#,##0\);\–\ \ \ \ \ "/>
    <numFmt numFmtId="188" formatCode="#,##0;\(#,##0\)"/>
    <numFmt numFmtId="189" formatCode="yyyymmdd"/>
    <numFmt numFmtId="190" formatCode="_([$€-2]* #,##0.00_);_([$€-2]* \(#,##0.00\);_([$€-2]* &quot;-&quot;??_)"/>
    <numFmt numFmtId="191" formatCode="_-* #,##0.0_-;\-* #,##0.0_-;_-* &quot;-&quot;??_-;_-@_-"/>
    <numFmt numFmtId="192" formatCode="#,##0.00&quot; $&quot;;\-#,##0.00&quot; $&quot;"/>
    <numFmt numFmtId="193" formatCode="000000000"/>
    <numFmt numFmtId="194" formatCode="#,##0.0_);\(#,##0.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0_)"/>
    <numFmt numFmtId="198" formatCode="00"/>
    <numFmt numFmtId="199" formatCode="0_);\(0\)"/>
    <numFmt numFmtId="200" formatCode="000\-00\-0000"/>
    <numFmt numFmtId="201" formatCode="[$-409]mmmm\ d\,\ yyyy;@"/>
  </numFmts>
  <fonts count="87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FF"/>
      <name val="Arial"/>
      <family val="2"/>
    </font>
    <font>
      <b/>
      <sz val="12"/>
      <color rgb="FFCC00FF"/>
      <name val="Arial"/>
      <family val="2"/>
    </font>
    <font>
      <sz val="10"/>
      <color rgb="FFCC00FF"/>
      <name val="Arial"/>
      <family val="2"/>
    </font>
    <font>
      <sz val="12"/>
      <color rgb="FFCC00FF"/>
      <name val="Arial MT"/>
    </font>
    <font>
      <b/>
      <sz val="10"/>
      <color rgb="FFCC00FF"/>
      <name val="Arial"/>
      <family val="2"/>
    </font>
    <font>
      <b/>
      <sz val="12"/>
      <color rgb="FFCC00FF"/>
      <name val="Arial MT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">
    <xf numFmtId="172" fontId="0" fillId="0" borderId="0" applyProtection="0"/>
    <xf numFmtId="0" fontId="6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38" fontId="39" fillId="0" borderId="0" applyBorder="0" applyAlignment="0"/>
    <xf numFmtId="184" fontId="35" fillId="20" borderId="1">
      <alignment horizontal="center" vertical="center"/>
    </xf>
    <xf numFmtId="185" fontId="6" fillId="0" borderId="2">
      <alignment horizontal="left"/>
    </xf>
    <xf numFmtId="0" fontId="40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0" borderId="0" applyNumberFormat="0" applyFill="0" applyBorder="0" applyAlignment="0" applyProtection="0"/>
    <xf numFmtId="186" fontId="42" fillId="0" borderId="3" applyNumberFormat="0" applyFill="0" applyAlignment="0" applyProtection="0">
      <alignment horizontal="center"/>
    </xf>
    <xf numFmtId="187" fontId="42" fillId="0" borderId="4" applyFill="0" applyAlignment="0" applyProtection="0">
      <alignment horizontal="center"/>
    </xf>
    <xf numFmtId="38" fontId="6" fillId="0" borderId="0">
      <alignment horizontal="right"/>
    </xf>
    <xf numFmtId="37" fontId="7" fillId="0" borderId="0" applyFill="0">
      <alignment horizontal="right"/>
    </xf>
    <xf numFmtId="37" fontId="7" fillId="0" borderId="0">
      <alignment horizontal="right"/>
    </xf>
    <xf numFmtId="0" fontId="7" fillId="0" borderId="0" applyFill="0">
      <alignment horizontal="center"/>
    </xf>
    <xf numFmtId="37" fontId="7" fillId="0" borderId="5" applyFill="0">
      <alignment horizontal="right"/>
    </xf>
    <xf numFmtId="37" fontId="7" fillId="0" borderId="0">
      <alignment horizontal="right"/>
    </xf>
    <xf numFmtId="0" fontId="43" fillId="0" borderId="0" applyFill="0">
      <alignment vertical="top"/>
    </xf>
    <xf numFmtId="0" fontId="44" fillId="0" borderId="0" applyFill="0">
      <alignment horizontal="left" vertical="top"/>
    </xf>
    <xf numFmtId="37" fontId="7" fillId="0" borderId="6" applyFill="0">
      <alignment horizontal="right"/>
    </xf>
    <xf numFmtId="0" fontId="6" fillId="0" borderId="0" applyNumberFormat="0" applyFont="0" applyAlignment="0"/>
    <xf numFmtId="0" fontId="43" fillId="0" borderId="0" applyFill="0">
      <alignment wrapText="1"/>
    </xf>
    <xf numFmtId="0" fontId="44" fillId="0" borderId="0" applyFill="0">
      <alignment horizontal="left" vertical="top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6" fillId="0" borderId="0" applyFill="0">
      <alignment vertical="top" wrapText="1"/>
    </xf>
    <xf numFmtId="0" fontId="5" fillId="0" borderId="0" applyFill="0">
      <alignment horizontal="left" vertical="top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7" fillId="0" borderId="0" applyFill="0">
      <alignment vertical="center" wrapText="1"/>
    </xf>
    <xf numFmtId="0" fontId="3" fillId="0" borderId="0">
      <alignment horizontal="left" vertical="center" wrapText="1"/>
    </xf>
    <xf numFmtId="37" fontId="7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49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50" fillId="0" borderId="0" applyFill="0">
      <alignment horizontal="center" vertical="center" wrapText="1"/>
    </xf>
    <xf numFmtId="0" fontId="51" fillId="0" borderId="0" applyFill="0">
      <alignment horizontal="center" vertical="center" wrapText="1"/>
    </xf>
    <xf numFmtId="37" fontId="49" fillId="0" borderId="0" applyFill="0">
      <alignment horizontal="right"/>
    </xf>
    <xf numFmtId="0" fontId="45" fillId="0" borderId="0" applyNumberFormat="0" applyFont="0" applyAlignment="0">
      <alignment horizontal="center"/>
    </xf>
    <xf numFmtId="0" fontId="52" fillId="0" borderId="0">
      <alignment horizontal="center" wrapText="1"/>
    </xf>
    <xf numFmtId="0" fontId="53" fillId="0" borderId="0" applyFill="0">
      <alignment horizontal="center" wrapText="1"/>
    </xf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22" borderId="8" applyNumberFormat="0" applyAlignment="0" applyProtection="0"/>
    <xf numFmtId="0" fontId="20" fillId="22" borderId="8" applyNumberFormat="0" applyAlignment="0" applyProtection="0"/>
    <xf numFmtId="43" fontId="6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9" fontId="6" fillId="0" borderId="2">
      <alignment horizontal="center"/>
    </xf>
    <xf numFmtId="190" fontId="5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1" fontId="6" fillId="0" borderId="0">
      <protection locked="0"/>
    </xf>
    <xf numFmtId="0" fontId="57" fillId="0" borderId="0"/>
    <xf numFmtId="0" fontId="58" fillId="0" borderId="0"/>
    <xf numFmtId="0" fontId="59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7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61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2" fontId="6" fillId="0" borderId="0">
      <protection locked="0"/>
    </xf>
    <xf numFmtId="192" fontId="6" fillId="0" borderId="0">
      <protection locked="0"/>
    </xf>
    <xf numFmtId="0" fontId="62" fillId="0" borderId="14" applyNumberFormat="0" applyFill="0" applyAlignment="0" applyProtection="0"/>
    <xf numFmtId="0" fontId="26" fillId="7" borderId="7" applyNumberFormat="0" applyAlignment="0" applyProtection="0"/>
    <xf numFmtId="10" fontId="7" fillId="24" borderId="2" applyNumberFormat="0" applyBorder="0" applyAlignment="0" applyProtection="0"/>
    <xf numFmtId="0" fontId="26" fillId="7" borderId="7" applyNumberFormat="0" applyAlignment="0" applyProtection="0"/>
    <xf numFmtId="0" fontId="7" fillId="23" borderId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193" fontId="6" fillId="0" borderId="2">
      <alignment horizontal="center"/>
    </xf>
    <xf numFmtId="194" fontId="63" fillId="0" borderId="0"/>
    <xf numFmtId="17" fontId="64" fillId="0" borderId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43" fontId="65" fillId="0" borderId="0" applyNumberFormat="0" applyFill="0" applyBorder="0" applyAlignment="0" applyProtection="0"/>
    <xf numFmtId="0" fontId="42" fillId="0" borderId="0" applyNumberFormat="0" applyFill="0" applyAlignment="0" applyProtection="0"/>
    <xf numFmtId="37" fontId="66" fillId="0" borderId="0"/>
    <xf numFmtId="197" fontId="67" fillId="0" borderId="0"/>
    <xf numFmtId="172" fontId="1" fillId="0" borderId="0" applyProtection="0"/>
    <xf numFmtId="0" fontId="6" fillId="0" borderId="0"/>
    <xf numFmtId="0" fontId="80" fillId="0" borderId="0"/>
    <xf numFmtId="0" fontId="55" fillId="0" borderId="0"/>
    <xf numFmtId="0" fontId="6" fillId="0" borderId="2">
      <alignment horizontal="center" wrapText="1"/>
    </xf>
    <xf numFmtId="2" fontId="6" fillId="0" borderId="2">
      <alignment horizontal="center"/>
    </xf>
    <xf numFmtId="198" fontId="9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29" fillId="21" borderId="17" applyNumberFormat="0" applyAlignment="0" applyProtection="0"/>
    <xf numFmtId="0" fontId="29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27" borderId="0" applyNumberFormat="0" applyFont="0" applyBorder="0" applyAlignment="0" applyProtection="0"/>
    <xf numFmtId="37" fontId="7" fillId="23" borderId="0" applyFill="0">
      <alignment horizontal="right"/>
    </xf>
    <xf numFmtId="0" fontId="49" fillId="0" borderId="0">
      <alignment horizontal="left"/>
    </xf>
    <xf numFmtId="0" fontId="7" fillId="0" borderId="0" applyFill="0">
      <alignment horizontal="left"/>
    </xf>
    <xf numFmtId="37" fontId="7" fillId="0" borderId="4" applyFill="0">
      <alignment horizontal="right"/>
    </xf>
    <xf numFmtId="0" fontId="9" fillId="0" borderId="2" applyNumberFormat="0" applyFont="0" applyBorder="0">
      <alignment horizontal="right"/>
    </xf>
    <xf numFmtId="0" fontId="68" fillId="0" borderId="0" applyFill="0"/>
    <xf numFmtId="0" fontId="7" fillId="0" borderId="0" applyFill="0">
      <alignment horizontal="left"/>
    </xf>
    <xf numFmtId="199" fontId="7" fillId="0" borderId="4" applyFill="0">
      <alignment horizontal="right"/>
    </xf>
    <xf numFmtId="0" fontId="6" fillId="0" borderId="0" applyNumberFormat="0" applyFont="0" applyBorder="0" applyAlignment="0"/>
    <xf numFmtId="0" fontId="46" fillId="0" borderId="0" applyFill="0">
      <alignment horizontal="left" indent="1"/>
    </xf>
    <xf numFmtId="0" fontId="49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Fill="0" applyBorder="0" applyAlignment="0"/>
    <xf numFmtId="0" fontId="46" fillId="0" borderId="0" applyFill="0">
      <alignment horizontal="left" indent="2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69" fillId="0" borderId="0">
      <alignment horizontal="left" indent="3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48" fillId="0" borderId="0">
      <alignment horizontal="left" indent="4"/>
    </xf>
    <xf numFmtId="0" fontId="7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Border="0" applyAlignment="0"/>
    <xf numFmtId="0" fontId="50" fillId="0" borderId="0">
      <alignment horizontal="left" indent="5"/>
    </xf>
    <xf numFmtId="0" fontId="49" fillId="0" borderId="0" applyFill="0">
      <alignment horizontal="left"/>
    </xf>
    <xf numFmtId="37" fontId="49" fillId="0" borderId="0" applyFill="0">
      <alignment horizontal="right"/>
    </xf>
    <xf numFmtId="0" fontId="6" fillId="0" borderId="0" applyNumberFormat="0" applyFont="0" applyFill="0" applyBorder="0" applyAlignment="0"/>
    <xf numFmtId="0" fontId="52" fillId="0" borderId="0" applyFill="0">
      <alignment horizontal="left" indent="6"/>
    </xf>
    <xf numFmtId="0" fontId="49" fillId="0" borderId="0" applyFill="0">
      <alignment horizontal="left"/>
    </xf>
    <xf numFmtId="38" fontId="8" fillId="28" borderId="4">
      <alignment horizontal="right"/>
    </xf>
    <xf numFmtId="38" fontId="6" fillId="29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2" fillId="0" borderId="4" applyNumberFormat="0" applyFill="0" applyAlignment="0" applyProtection="0"/>
    <xf numFmtId="37" fontId="71" fillId="0" borderId="0" applyNumberFormat="0">
      <alignment horizontal="left"/>
    </xf>
    <xf numFmtId="200" fontId="6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94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37" fontId="7" fillId="28" borderId="0" applyNumberFormat="0" applyBorder="0" applyAlignment="0" applyProtection="0"/>
    <xf numFmtId="37" fontId="7" fillId="0" borderId="0"/>
    <xf numFmtId="3" fontId="77" fillId="0" borderId="14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</cellStyleXfs>
  <cellXfs count="329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65" applyAlignment="1">
      <alignment horizontal="center"/>
    </xf>
    <xf numFmtId="0" fontId="6" fillId="0" borderId="0" xfId="165"/>
    <xf numFmtId="0" fontId="9" fillId="0" borderId="0" xfId="165" applyFont="1"/>
    <xf numFmtId="0" fontId="6" fillId="0" borderId="3" xfId="165" applyBorder="1" applyAlignment="1">
      <alignment horizontal="center"/>
    </xf>
    <xf numFmtId="0" fontId="6" fillId="0" borderId="3" xfId="165" applyBorder="1"/>
    <xf numFmtId="0" fontId="6" fillId="0" borderId="3" xfId="165" applyBorder="1" applyAlignment="1">
      <alignment horizontal="center" wrapText="1"/>
    </xf>
    <xf numFmtId="0" fontId="6" fillId="0" borderId="0" xfId="165" applyAlignment="1">
      <alignment horizontal="center" wrapText="1"/>
    </xf>
    <xf numFmtId="3" fontId="6" fillId="0" borderId="0" xfId="165" applyNumberFormat="1"/>
    <xf numFmtId="9" fontId="6" fillId="0" borderId="0" xfId="173"/>
    <xf numFmtId="41" fontId="6" fillId="0" borderId="0" xfId="165" applyNumberFormat="1"/>
    <xf numFmtId="174" fontId="6" fillId="0" borderId="0" xfId="165" applyNumberFormat="1"/>
    <xf numFmtId="43" fontId="6" fillId="0" borderId="0" xfId="165" applyNumberFormat="1"/>
    <xf numFmtId="173" fontId="6" fillId="0" borderId="0" xfId="165" applyNumberFormat="1"/>
    <xf numFmtId="174" fontId="6" fillId="0" borderId="3" xfId="165" applyNumberFormat="1" applyBorder="1"/>
    <xf numFmtId="0" fontId="6" fillId="0" borderId="0" xfId="165" quotePrefix="1"/>
    <xf numFmtId="44" fontId="6" fillId="0" borderId="0" xfId="111"/>
    <xf numFmtId="0" fontId="6" fillId="0" borderId="0" xfId="166"/>
    <xf numFmtId="0" fontId="6" fillId="0" borderId="0" xfId="166" applyAlignment="1">
      <alignment horizontal="center"/>
    </xf>
    <xf numFmtId="0" fontId="9" fillId="0" borderId="0" xfId="166" applyFont="1"/>
    <xf numFmtId="44" fontId="6" fillId="0" borderId="0" xfId="166" applyNumberFormat="1"/>
    <xf numFmtId="0" fontId="6" fillId="0" borderId="0" xfId="166" applyFont="1"/>
    <xf numFmtId="0" fontId="6" fillId="0" borderId="0" xfId="165" applyFont="1"/>
    <xf numFmtId="0" fontId="9" fillId="0" borderId="0" xfId="165" applyFont="1" applyAlignment="1">
      <alignment horizontal="right"/>
    </xf>
    <xf numFmtId="0" fontId="9" fillId="0" borderId="0" xfId="165" applyFont="1" applyAlignment="1">
      <alignment horizontal="center"/>
    </xf>
    <xf numFmtId="0" fontId="6" fillId="0" borderId="0" xfId="166" applyFill="1"/>
    <xf numFmtId="173" fontId="6" fillId="0" borderId="0" xfId="105" applyNumberFormat="1" applyFont="1" applyFill="1"/>
    <xf numFmtId="0" fontId="6" fillId="0" borderId="19" xfId="163" applyBorder="1" applyAlignment="1">
      <alignment horizontal="center"/>
    </xf>
    <xf numFmtId="0" fontId="6" fillId="0" borderId="20" xfId="163" applyBorder="1" applyAlignment="1">
      <alignment horizontal="center"/>
    </xf>
    <xf numFmtId="0" fontId="6" fillId="0" borderId="0" xfId="163"/>
    <xf numFmtId="0" fontId="6" fillId="0" borderId="21" xfId="163" applyBorder="1" applyAlignment="1">
      <alignment horizontal="center"/>
    </xf>
    <xf numFmtId="0" fontId="6" fillId="0" borderId="0" xfId="163" applyBorder="1" applyAlignment="1">
      <alignment horizontal="center"/>
    </xf>
    <xf numFmtId="0" fontId="6" fillId="0" borderId="22" xfId="163" applyBorder="1" applyAlignment="1">
      <alignment horizontal="center"/>
    </xf>
    <xf numFmtId="0" fontId="6" fillId="0" borderId="3" xfId="163" applyBorder="1" applyAlignment="1">
      <alignment horizontal="center"/>
    </xf>
    <xf numFmtId="0" fontId="6" fillId="0" borderId="0" xfId="163" applyBorder="1"/>
    <xf numFmtId="0" fontId="6" fillId="0" borderId="21" xfId="163" applyBorder="1"/>
    <xf numFmtId="0" fontId="6" fillId="0" borderId="9" xfId="163" applyBorder="1"/>
    <xf numFmtId="10" fontId="6" fillId="0" borderId="0" xfId="163" applyNumberFormat="1"/>
    <xf numFmtId="10" fontId="6" fillId="0" borderId="0" xfId="163" applyNumberFormat="1" applyBorder="1" applyAlignment="1">
      <alignment horizontal="center"/>
    </xf>
    <xf numFmtId="0" fontId="6" fillId="0" borderId="23" xfId="163" applyFont="1" applyBorder="1"/>
    <xf numFmtId="0" fontId="6" fillId="0" borderId="0" xfId="163" applyAlignment="1">
      <alignment horizontal="left"/>
    </xf>
    <xf numFmtId="0" fontId="6" fillId="0" borderId="0" xfId="163" applyFont="1"/>
    <xf numFmtId="0" fontId="6" fillId="0" borderId="0" xfId="163" applyAlignment="1"/>
    <xf numFmtId="0" fontId="6" fillId="0" borderId="0" xfId="163" applyFont="1" applyAlignment="1">
      <alignment horizontal="left"/>
    </xf>
    <xf numFmtId="0" fontId="6" fillId="0" borderId="3" xfId="165" applyFont="1" applyBorder="1" applyAlignment="1">
      <alignment horizontal="center" wrapText="1"/>
    </xf>
    <xf numFmtId="44" fontId="6" fillId="0" borderId="0" xfId="111" applyNumberFormat="1"/>
    <xf numFmtId="44" fontId="6" fillId="0" borderId="0" xfId="165" applyNumberFormat="1"/>
    <xf numFmtId="178" fontId="6" fillId="0" borderId="0" xfId="111" applyNumberFormat="1"/>
    <xf numFmtId="179" fontId="6" fillId="0" borderId="0" xfId="111" applyNumberFormat="1"/>
    <xf numFmtId="0" fontId="6" fillId="0" borderId="0" xfId="165" applyFont="1" applyFill="1"/>
    <xf numFmtId="0" fontId="6" fillId="0" borderId="0" xfId="165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24" xfId="163" applyFill="1" applyBorder="1" applyAlignment="1">
      <alignment horizontal="center"/>
    </xf>
    <xf numFmtId="0" fontId="6" fillId="0" borderId="20" xfId="163" applyFill="1" applyBorder="1" applyAlignment="1">
      <alignment horizontal="center"/>
    </xf>
    <xf numFmtId="0" fontId="6" fillId="0" borderId="25" xfId="163" applyFill="1" applyBorder="1" applyAlignment="1">
      <alignment horizontal="center"/>
    </xf>
    <xf numFmtId="0" fontId="6" fillId="0" borderId="0" xfId="163" applyFill="1" applyBorder="1" applyAlignment="1">
      <alignment horizontal="center"/>
    </xf>
    <xf numFmtId="0" fontId="6" fillId="0" borderId="25" xfId="163" applyFont="1" applyFill="1" applyBorder="1" applyAlignment="1">
      <alignment horizontal="center"/>
    </xf>
    <xf numFmtId="0" fontId="6" fillId="0" borderId="26" xfId="163" applyFill="1" applyBorder="1" applyAlignment="1">
      <alignment horizontal="center"/>
    </xf>
    <xf numFmtId="0" fontId="6" fillId="0" borderId="3" xfId="163" applyFill="1" applyBorder="1" applyAlignment="1">
      <alignment horizontal="center"/>
    </xf>
    <xf numFmtId="0" fontId="6" fillId="0" borderId="25" xfId="163" applyFill="1" applyBorder="1"/>
    <xf numFmtId="1" fontId="6" fillId="0" borderId="27" xfId="163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6" fillId="0" borderId="0" xfId="166" applyFont="1" applyAlignment="1">
      <alignment horizontal="center"/>
    </xf>
    <xf numFmtId="0" fontId="6" fillId="0" borderId="4" xfId="166" applyFont="1" applyBorder="1" applyAlignment="1">
      <alignment horizontal="center"/>
    </xf>
    <xf numFmtId="0" fontId="6" fillId="0" borderId="24" xfId="163" applyFont="1" applyFill="1" applyBorder="1" applyAlignment="1">
      <alignment horizontal="center"/>
    </xf>
    <xf numFmtId="0" fontId="6" fillId="0" borderId="26" xfId="163" applyFont="1" applyFill="1" applyBorder="1" applyAlignment="1">
      <alignment horizontal="center"/>
    </xf>
    <xf numFmtId="0" fontId="6" fillId="0" borderId="25" xfId="163" quotePrefix="1" applyFont="1" applyFill="1" applyBorder="1" applyAlignment="1">
      <alignment horizontal="left"/>
    </xf>
    <xf numFmtId="0" fontId="6" fillId="0" borderId="20" xfId="163" applyFill="1" applyBorder="1"/>
    <xf numFmtId="0" fontId="6" fillId="0" borderId="0" xfId="163" applyFill="1" applyBorder="1"/>
    <xf numFmtId="0" fontId="6" fillId="0" borderId="26" xfId="163" quotePrefix="1" applyFont="1" applyFill="1" applyBorder="1" applyAlignment="1">
      <alignment horizontal="left"/>
    </xf>
    <xf numFmtId="0" fontId="6" fillId="0" borderId="3" xfId="163" applyFill="1" applyBorder="1"/>
    <xf numFmtId="0" fontId="6" fillId="0" borderId="0" xfId="163" applyFont="1" applyFill="1" applyAlignment="1">
      <alignment horizontal="left"/>
    </xf>
    <xf numFmtId="0" fontId="6" fillId="0" borderId="0" xfId="163" applyFill="1"/>
    <xf numFmtId="0" fontId="6" fillId="0" borderId="0" xfId="163" applyFill="1" applyAlignment="1">
      <alignment horizontal="left"/>
    </xf>
    <xf numFmtId="0" fontId="6" fillId="0" borderId="4" xfId="166" applyFont="1" applyBorder="1"/>
    <xf numFmtId="44" fontId="6" fillId="0" borderId="4" xfId="166" applyNumberFormat="1" applyFont="1" applyBorder="1" applyAlignment="1">
      <alignment horizontal="center"/>
    </xf>
    <xf numFmtId="0" fontId="6" fillId="0" borderId="0" xfId="166" applyFont="1" applyAlignment="1">
      <alignment horizontal="right"/>
    </xf>
    <xf numFmtId="172" fontId="11" fillId="0" borderId="0" xfId="0" applyFont="1" applyFill="1"/>
    <xf numFmtId="0" fontId="11" fillId="0" borderId="0" xfId="0" applyNumberFormat="1" applyFont="1" applyAlignment="1">
      <alignment horizontal="center"/>
    </xf>
    <xf numFmtId="0" fontId="6" fillId="0" borderId="0" xfId="166" applyFont="1" applyFill="1"/>
    <xf numFmtId="172" fontId="11" fillId="0" borderId="0" xfId="0" applyFont="1" applyAlignment="1">
      <alignment horizontal="center"/>
    </xf>
    <xf numFmtId="172" fontId="11" fillId="0" borderId="4" xfId="0" applyFont="1" applyBorder="1" applyAlignment="1">
      <alignment horizontal="center"/>
    </xf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0" fontId="6" fillId="0" borderId="3" xfId="165" applyFont="1" applyBorder="1"/>
    <xf numFmtId="44" fontId="6" fillId="0" borderId="3" xfId="165" applyNumberFormat="1" applyFont="1" applyBorder="1"/>
    <xf numFmtId="170" fontId="6" fillId="0" borderId="3" xfId="173" applyNumberFormat="1" applyFont="1" applyBorder="1" applyAlignment="1">
      <alignment horizontal="right"/>
    </xf>
    <xf numFmtId="174" fontId="6" fillId="0" borderId="3" xfId="111" applyNumberFormat="1" applyFont="1" applyBorder="1"/>
    <xf numFmtId="175" fontId="10" fillId="0" borderId="0" xfId="165" applyNumberFormat="1" applyFont="1"/>
    <xf numFmtId="174" fontId="38" fillId="0" borderId="0" xfId="165" applyNumberFormat="1" applyFont="1" applyFill="1"/>
    <xf numFmtId="43" fontId="6" fillId="0" borderId="0" xfId="105"/>
    <xf numFmtId="0" fontId="6" fillId="30" borderId="24" xfId="163" applyFill="1" applyBorder="1" applyAlignment="1">
      <alignment horizontal="center"/>
    </xf>
    <xf numFmtId="0" fontId="6" fillId="30" borderId="25" xfId="163" applyFill="1" applyBorder="1" applyAlignment="1">
      <alignment horizontal="center"/>
    </xf>
    <xf numFmtId="0" fontId="6" fillId="30" borderId="26" xfId="163" applyFill="1" applyBorder="1" applyAlignment="1">
      <alignment horizontal="center"/>
    </xf>
    <xf numFmtId="0" fontId="6" fillId="0" borderId="28" xfId="165" applyBorder="1"/>
    <xf numFmtId="0" fontId="6" fillId="0" borderId="6" xfId="165" applyBorder="1"/>
    <xf numFmtId="0" fontId="6" fillId="0" borderId="29" xfId="165" applyBorder="1"/>
    <xf numFmtId="0" fontId="6" fillId="0" borderId="30" xfId="165" applyBorder="1"/>
    <xf numFmtId="0" fontId="6" fillId="0" borderId="0" xfId="165" applyBorder="1"/>
    <xf numFmtId="0" fontId="6" fillId="0" borderId="31" xfId="165" applyBorder="1"/>
    <xf numFmtId="0" fontId="6" fillId="0" borderId="32" xfId="165" applyBorder="1"/>
    <xf numFmtId="0" fontId="6" fillId="0" borderId="4" xfId="165" applyBorder="1"/>
    <xf numFmtId="0" fontId="6" fillId="0" borderId="33" xfId="165" applyBorder="1"/>
    <xf numFmtId="0" fontId="6" fillId="0" borderId="3" xfId="165" applyFont="1" applyBorder="1" applyAlignment="1">
      <alignment horizontal="center"/>
    </xf>
    <xf numFmtId="0" fontId="6" fillId="0" borderId="0" xfId="165" applyFont="1" applyAlignment="1">
      <alignment horizontal="center"/>
    </xf>
    <xf numFmtId="0" fontId="6" fillId="0" borderId="0" xfId="165" applyFont="1" applyAlignment="1">
      <alignment horizontal="center" wrapText="1"/>
    </xf>
    <xf numFmtId="170" fontId="6" fillId="0" borderId="0" xfId="173" applyNumberFormat="1" applyFont="1" applyAlignment="1">
      <alignment horizontal="right"/>
    </xf>
    <xf numFmtId="174" fontId="6" fillId="0" borderId="0" xfId="111" applyNumberFormat="1" applyFont="1"/>
    <xf numFmtId="9" fontId="6" fillId="0" borderId="0" xfId="173" applyFont="1" applyAlignment="1">
      <alignment horizontal="right"/>
    </xf>
    <xf numFmtId="174" fontId="6" fillId="0" borderId="0" xfId="165" applyNumberFormat="1" applyFont="1"/>
    <xf numFmtId="43" fontId="6" fillId="0" borderId="0" xfId="165" applyNumberFormat="1" applyFont="1" applyFill="1"/>
    <xf numFmtId="173" fontId="6" fillId="0" borderId="0" xfId="165" applyNumberFormat="1" applyFont="1" applyFill="1"/>
    <xf numFmtId="173" fontId="6" fillId="0" borderId="3" xfId="165" applyNumberFormat="1" applyFont="1" applyFill="1" applyBorder="1"/>
    <xf numFmtId="43" fontId="6" fillId="0" borderId="3" xfId="165" applyNumberFormat="1" applyFont="1" applyFill="1" applyBorder="1"/>
    <xf numFmtId="0" fontId="6" fillId="30" borderId="20" xfId="163" applyFill="1" applyBorder="1" applyAlignment="1">
      <alignment horizontal="center"/>
    </xf>
    <xf numFmtId="0" fontId="6" fillId="30" borderId="0" xfId="163" applyFill="1" applyBorder="1" applyAlignment="1">
      <alignment horizontal="center"/>
    </xf>
    <xf numFmtId="1" fontId="6" fillId="30" borderId="27" xfId="163" applyNumberFormat="1" applyFill="1" applyBorder="1" applyAlignment="1">
      <alignment horizontal="center"/>
    </xf>
    <xf numFmtId="0" fontId="6" fillId="30" borderId="0" xfId="163" applyFill="1"/>
    <xf numFmtId="0" fontId="6" fillId="30" borderId="24" xfId="163" applyFont="1" applyFill="1" applyBorder="1" applyAlignment="1">
      <alignment horizontal="center"/>
    </xf>
    <xf numFmtId="0" fontId="6" fillId="30" borderId="25" xfId="163" applyFont="1" applyFill="1" applyBorder="1" applyAlignment="1">
      <alignment horizontal="center"/>
    </xf>
    <xf numFmtId="0" fontId="6" fillId="30" borderId="3" xfId="163" applyFill="1" applyBorder="1" applyAlignment="1">
      <alignment horizontal="center"/>
    </xf>
    <xf numFmtId="0" fontId="6" fillId="30" borderId="26" xfId="163" applyFont="1" applyFill="1" applyBorder="1" applyAlignment="1">
      <alignment horizontal="center"/>
    </xf>
    <xf numFmtId="10" fontId="6" fillId="0" borderId="0" xfId="166" applyNumberFormat="1" applyFont="1"/>
    <xf numFmtId="1" fontId="6" fillId="0" borderId="0" xfId="163" applyNumberFormat="1" applyFill="1" applyBorder="1" applyAlignment="1">
      <alignment horizontal="center"/>
    </xf>
    <xf numFmtId="173" fontId="3" fillId="0" borderId="0" xfId="105" applyNumberFormat="1" applyFont="1" applyFill="1" applyAlignment="1">
      <alignment horizontal="center"/>
    </xf>
    <xf numFmtId="173" fontId="3" fillId="0" borderId="4" xfId="105" applyNumberFormat="1" applyFont="1" applyFill="1" applyBorder="1" applyAlignment="1"/>
    <xf numFmtId="0" fontId="3" fillId="0" borderId="0" xfId="0" applyNumberFormat="1" applyFont="1" applyFill="1"/>
    <xf numFmtId="172" fontId="0" fillId="0" borderId="0" xfId="0" applyFill="1" applyAlignment="1"/>
    <xf numFmtId="1" fontId="6" fillId="0" borderId="24" xfId="163" applyNumberFormat="1" applyFill="1" applyBorder="1" applyAlignment="1">
      <alignment horizontal="center"/>
    </xf>
    <xf numFmtId="1" fontId="6" fillId="0" borderId="25" xfId="163" applyNumberFormat="1" applyFill="1" applyBorder="1" applyAlignment="1">
      <alignment horizontal="center"/>
    </xf>
    <xf numFmtId="1" fontId="6" fillId="0" borderId="26" xfId="163" applyNumberFormat="1" applyFill="1" applyBorder="1" applyAlignment="1">
      <alignment horizontal="center"/>
    </xf>
    <xf numFmtId="0" fontId="6" fillId="0" borderId="0" xfId="166" applyFill="1" applyAlignment="1">
      <alignment horizontal="center"/>
    </xf>
    <xf numFmtId="44" fontId="6" fillId="0" borderId="0" xfId="166" applyNumberFormat="1" applyAlignment="1">
      <alignment horizontal="center"/>
    </xf>
    <xf numFmtId="10" fontId="6" fillId="0" borderId="0" xfId="173" applyNumberFormat="1" applyFill="1"/>
    <xf numFmtId="3" fontId="3" fillId="0" borderId="0" xfId="0" applyNumberFormat="1" applyFont="1" applyFill="1" applyAlignment="1">
      <alignment horizontal="right"/>
    </xf>
    <xf numFmtId="3" fontId="3" fillId="0" borderId="6" xfId="0" applyNumberFormat="1" applyFont="1" applyFill="1" applyBorder="1" applyAlignment="1"/>
    <xf numFmtId="173" fontId="6" fillId="0" borderId="37" xfId="166" applyNumberFormat="1" applyBorder="1"/>
    <xf numFmtId="44" fontId="6" fillId="0" borderId="0" xfId="166" applyNumberFormat="1" applyFont="1" applyAlignment="1">
      <alignment horizontal="right"/>
    </xf>
    <xf numFmtId="173" fontId="6" fillId="0" borderId="0" xfId="105" applyNumberFormat="1"/>
    <xf numFmtId="173" fontId="6" fillId="0" borderId="6" xfId="166" applyNumberFormat="1" applyBorder="1"/>
    <xf numFmtId="17" fontId="6" fillId="0" borderId="0" xfId="166" applyNumberFormat="1" applyFont="1" applyAlignment="1">
      <alignment horizontal="right"/>
    </xf>
    <xf numFmtId="173" fontId="6" fillId="0" borderId="0" xfId="166" applyNumberFormat="1"/>
    <xf numFmtId="17" fontId="6" fillId="0" borderId="0" xfId="166" applyNumberFormat="1" applyFont="1"/>
    <xf numFmtId="173" fontId="6" fillId="0" borderId="6" xfId="105" applyNumberFormat="1" applyFont="1" applyFill="1" applyBorder="1"/>
    <xf numFmtId="173" fontId="6" fillId="0" borderId="0" xfId="105" applyNumberFormat="1" applyFont="1"/>
    <xf numFmtId="44" fontId="6" fillId="0" borderId="0" xfId="166" applyNumberFormat="1" applyFont="1" applyAlignment="1">
      <alignment horizontal="center"/>
    </xf>
    <xf numFmtId="173" fontId="6" fillId="0" borderId="0" xfId="105" applyNumberFormat="1" applyFont="1" applyAlignment="1">
      <alignment horizontal="center"/>
    </xf>
    <xf numFmtId="174" fontId="6" fillId="0" borderId="38" xfId="111" applyNumberFormat="1" applyFont="1" applyFill="1" applyBorder="1"/>
    <xf numFmtId="10" fontId="6" fillId="0" borderId="0" xfId="173" applyNumberFormat="1" applyFont="1"/>
    <xf numFmtId="0" fontId="9" fillId="0" borderId="0" xfId="166" applyFont="1" applyFill="1"/>
    <xf numFmtId="180" fontId="6" fillId="0" borderId="0" xfId="166" applyNumberFormat="1" applyAlignment="1">
      <alignment horizontal="left"/>
    </xf>
    <xf numFmtId="173" fontId="9" fillId="0" borderId="0" xfId="105" applyNumberFormat="1" applyFont="1" applyAlignment="1">
      <alignment horizontal="center"/>
    </xf>
    <xf numFmtId="49" fontId="9" fillId="0" borderId="0" xfId="166" applyNumberFormat="1" applyFont="1" applyAlignment="1">
      <alignment horizontal="right"/>
    </xf>
    <xf numFmtId="44" fontId="6" fillId="0" borderId="0" xfId="166" applyNumberFormat="1" applyFont="1"/>
    <xf numFmtId="0" fontId="6" fillId="0" borderId="6" xfId="166" applyBorder="1"/>
    <xf numFmtId="177" fontId="6" fillId="0" borderId="0" xfId="105" applyNumberFormat="1" applyFont="1" applyFill="1" applyAlignment="1">
      <alignment horizontal="center"/>
    </xf>
    <xf numFmtId="0" fontId="6" fillId="0" borderId="0" xfId="166" applyFont="1" applyAlignment="1">
      <alignment horizontal="center" wrapText="1"/>
    </xf>
    <xf numFmtId="0" fontId="6" fillId="0" borderId="0" xfId="164" applyFont="1" applyAlignment="1">
      <alignment horizontal="center"/>
    </xf>
    <xf numFmtId="0" fontId="5" fillId="0" borderId="0" xfId="166" applyFont="1" applyAlignment="1">
      <alignment horizontal="center"/>
    </xf>
    <xf numFmtId="0" fontId="6" fillId="30" borderId="25" xfId="163" applyFill="1" applyBorder="1"/>
    <xf numFmtId="1" fontId="6" fillId="30" borderId="23" xfId="163" applyNumberFormat="1" applyFill="1" applyBorder="1" applyAlignment="1">
      <alignment horizontal="center"/>
    </xf>
    <xf numFmtId="1" fontId="6" fillId="30" borderId="39" xfId="163" applyNumberFormat="1" applyFill="1" applyBorder="1" applyAlignment="1">
      <alignment horizontal="center"/>
    </xf>
    <xf numFmtId="1" fontId="6" fillId="30" borderId="9" xfId="163" applyNumberFormat="1" applyFill="1" applyBorder="1" applyAlignment="1">
      <alignment horizontal="center"/>
    </xf>
    <xf numFmtId="1" fontId="6" fillId="0" borderId="23" xfId="163" applyNumberFormat="1" applyFill="1" applyBorder="1" applyAlignment="1">
      <alignment horizontal="center"/>
    </xf>
    <xf numFmtId="17" fontId="6" fillId="0" borderId="0" xfId="166" applyNumberFormat="1" applyFont="1" applyFill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172" fontId="0" fillId="0" borderId="0" xfId="0" applyFill="1" applyAlignment="1">
      <alignment horizontal="right"/>
    </xf>
    <xf numFmtId="172" fontId="3" fillId="0" borderId="0" xfId="0" applyFont="1" applyFill="1" applyAlignment="1">
      <alignment horizontal="right"/>
    </xf>
    <xf numFmtId="172" fontId="2" fillId="0" borderId="0" xfId="0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165" fontId="3" fillId="0" borderId="0" xfId="0" applyNumberFormat="1" applyFont="1" applyFill="1" applyAlignment="1"/>
    <xf numFmtId="182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201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173" fontId="0" fillId="0" borderId="0" xfId="105" applyNumberFormat="1" applyFont="1" applyFill="1" applyAlignment="1"/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>
      <alignment horizontal="right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201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182" fontId="3" fillId="0" borderId="0" xfId="0" applyNumberFormat="1" applyFont="1" applyFill="1" applyAlignment="1">
      <alignment horizontal="right"/>
    </xf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6" fontId="3" fillId="0" borderId="0" xfId="167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10" fontId="3" fillId="0" borderId="0" xfId="173" applyNumberFormat="1" applyFont="1" applyFill="1"/>
    <xf numFmtId="0" fontId="35" fillId="0" borderId="0" xfId="0" applyNumberFormat="1" applyFont="1" applyFill="1"/>
    <xf numFmtId="0" fontId="3" fillId="0" borderId="4" xfId="0" applyNumberFormat="1" applyFont="1" applyFill="1" applyBorder="1" applyAlignment="1"/>
    <xf numFmtId="172" fontId="35" fillId="0" borderId="0" xfId="0" applyFont="1" applyFill="1" applyAlignment="1"/>
    <xf numFmtId="49" fontId="3" fillId="0" borderId="3" xfId="0" applyNumberFormat="1" applyFont="1" applyFill="1" applyBorder="1" applyAlignment="1">
      <alignment horizontal="center"/>
    </xf>
    <xf numFmtId="3" fontId="3" fillId="0" borderId="0" xfId="0" quotePrefix="1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173" fontId="3" fillId="0" borderId="3" xfId="105" applyNumberFormat="1" applyFont="1" applyFill="1" applyBorder="1" applyAlignment="1"/>
    <xf numFmtId="3" fontId="3" fillId="0" borderId="37" xfId="0" applyNumberFormat="1" applyFont="1" applyFill="1" applyBorder="1" applyAlignment="1"/>
    <xf numFmtId="171" fontId="3" fillId="0" borderId="0" xfId="0" applyNumberFormat="1" applyFont="1" applyFill="1" applyAlignment="1">
      <alignment horizontal="left"/>
    </xf>
    <xf numFmtId="0" fontId="3" fillId="0" borderId="0" xfId="105" applyNumberFormat="1" applyFont="1" applyFill="1" applyAlignment="1"/>
    <xf numFmtId="1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3" fontId="3" fillId="0" borderId="38" xfId="0" applyNumberFormat="1" applyFont="1" applyFill="1" applyBorder="1" applyAlignment="1"/>
    <xf numFmtId="3" fontId="3" fillId="0" borderId="10" xfId="0" applyNumberFormat="1" applyFont="1" applyFill="1" applyBorder="1" applyAlignment="1"/>
    <xf numFmtId="0" fontId="3" fillId="0" borderId="3" xfId="0" applyNumberFormat="1" applyFont="1" applyFill="1" applyBorder="1" applyProtection="1">
      <protection locked="0"/>
    </xf>
    <xf numFmtId="172" fontId="3" fillId="0" borderId="6" xfId="0" applyFont="1" applyFill="1" applyBorder="1" applyAlignment="1"/>
    <xf numFmtId="0" fontId="3" fillId="0" borderId="6" xfId="0" applyNumberFormat="1" applyFont="1" applyFill="1" applyBorder="1" applyProtection="1">
      <protection locked="0"/>
    </xf>
    <xf numFmtId="4" fontId="3" fillId="0" borderId="0" xfId="0" applyNumberFormat="1" applyFont="1" applyFill="1" applyAlignment="1"/>
    <xf numFmtId="10" fontId="3" fillId="0" borderId="0" xfId="173" applyNumberFormat="1" applyFont="1" applyFill="1" applyAlignment="1"/>
    <xf numFmtId="9" fontId="3" fillId="0" borderId="0" xfId="173" applyFont="1" applyFill="1" applyAlignment="1"/>
    <xf numFmtId="10" fontId="3" fillId="0" borderId="0" xfId="173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73" applyFont="1" applyFill="1" applyBorder="1" applyAlignment="1"/>
    <xf numFmtId="0" fontId="3" fillId="0" borderId="0" xfId="0" quotePrefix="1" applyNumberFormat="1" applyFont="1" applyFill="1"/>
    <xf numFmtId="10" fontId="3" fillId="0" borderId="0" xfId="0" applyNumberFormat="1" applyFont="1" applyFill="1" applyAlignment="1"/>
    <xf numFmtId="168" fontId="3" fillId="0" borderId="0" xfId="0" applyNumberFormat="1" applyFont="1" applyFill="1" applyAlignment="1"/>
    <xf numFmtId="10" fontId="3" fillId="0" borderId="3" xfId="173" applyNumberFormat="1" applyFont="1" applyFill="1" applyBorder="1" applyAlignment="1"/>
    <xf numFmtId="201" fontId="3" fillId="0" borderId="0" xfId="173" applyNumberFormat="1" applyFont="1" applyFill="1" applyAlignment="1">
      <alignment horizontal="right"/>
    </xf>
    <xf numFmtId="3" fontId="3" fillId="31" borderId="0" xfId="0" applyNumberFormat="1" applyFont="1" applyFill="1" applyAlignment="1"/>
    <xf numFmtId="3" fontId="3" fillId="31" borderId="3" xfId="0" applyNumberFormat="1" applyFont="1" applyFill="1" applyBorder="1" applyAlignment="1"/>
    <xf numFmtId="173" fontId="3" fillId="31" borderId="0" xfId="105" applyNumberFormat="1" applyFont="1" applyFill="1" applyAlignment="1"/>
    <xf numFmtId="173" fontId="3" fillId="31" borderId="3" xfId="105" applyNumberFormat="1" applyFont="1" applyFill="1" applyBorder="1" applyAlignment="1"/>
    <xf numFmtId="3" fontId="3" fillId="31" borderId="4" xfId="0" applyNumberFormat="1" applyFont="1" applyFill="1" applyBorder="1" applyAlignment="1"/>
    <xf numFmtId="3" fontId="81" fillId="0" borderId="0" xfId="0" applyNumberFormat="1" applyFont="1" applyFill="1" applyAlignment="1"/>
    <xf numFmtId="173" fontId="3" fillId="31" borderId="0" xfId="105" applyNumberFormat="1" applyFont="1" applyFill="1" applyBorder="1" applyAlignment="1"/>
    <xf numFmtId="10" fontId="3" fillId="31" borderId="0" xfId="173" applyNumberFormat="1" applyFont="1" applyFill="1" applyAlignment="1"/>
    <xf numFmtId="44" fontId="6" fillId="0" borderId="0" xfId="166" applyNumberFormat="1" applyFill="1"/>
    <xf numFmtId="1" fontId="3" fillId="0" borderId="0" xfId="0" applyNumberFormat="1" applyFont="1" applyFill="1" applyAlignment="1"/>
    <xf numFmtId="44" fontId="6" fillId="0" borderId="0" xfId="165" applyNumberFormat="1" applyFill="1"/>
    <xf numFmtId="173" fontId="3" fillId="31" borderId="4" xfId="105" applyNumberFormat="1" applyFont="1" applyFill="1" applyBorder="1" applyAlignment="1"/>
    <xf numFmtId="10" fontId="3" fillId="31" borderId="0" xfId="0" applyNumberFormat="1" applyFont="1" applyFill="1" applyProtection="1">
      <protection locked="0"/>
    </xf>
    <xf numFmtId="3" fontId="81" fillId="31" borderId="0" xfId="0" applyNumberFormat="1" applyFont="1" applyFill="1" applyAlignment="1"/>
    <xf numFmtId="3" fontId="3" fillId="31" borderId="6" xfId="0" applyNumberFormat="1" applyFont="1" applyFill="1" applyBorder="1" applyAlignment="1"/>
    <xf numFmtId="0" fontId="6" fillId="31" borderId="3" xfId="165" applyFont="1" applyFill="1" applyBorder="1" applyAlignment="1">
      <alignment horizontal="center" wrapText="1"/>
    </xf>
    <xf numFmtId="173" fontId="3" fillId="31" borderId="6" xfId="105" applyNumberFormat="1" applyFont="1" applyFill="1" applyBorder="1" applyAlignment="1"/>
    <xf numFmtId="201" fontId="0" fillId="31" borderId="0" xfId="0" applyNumberFormat="1" applyFill="1" applyAlignment="1">
      <alignment horizontal="right"/>
    </xf>
    <xf numFmtId="0" fontId="3" fillId="31" borderId="0" xfId="0" applyNumberFormat="1" applyFont="1" applyFill="1"/>
    <xf numFmtId="174" fontId="6" fillId="31" borderId="0" xfId="111" applyNumberFormat="1" applyFont="1" applyFill="1"/>
    <xf numFmtId="0" fontId="83" fillId="0" borderId="0" xfId="166" applyFont="1"/>
    <xf numFmtId="172" fontId="84" fillId="0" borderId="0" xfId="0" applyFont="1" applyFill="1" applyAlignment="1"/>
    <xf numFmtId="0" fontId="85" fillId="0" borderId="0" xfId="166" applyFont="1"/>
    <xf numFmtId="0" fontId="85" fillId="0" borderId="0" xfId="163" applyFont="1"/>
    <xf numFmtId="1" fontId="6" fillId="0" borderId="0" xfId="163" applyNumberFormat="1"/>
    <xf numFmtId="1" fontId="6" fillId="0" borderId="0" xfId="163" applyNumberFormat="1" applyAlignment="1">
      <alignment horizontal="left"/>
    </xf>
    <xf numFmtId="0" fontId="85" fillId="0" borderId="0" xfId="165" applyFont="1"/>
    <xf numFmtId="172" fontId="1" fillId="0" borderId="0" xfId="0" applyFont="1" applyFill="1" applyAlignment="1">
      <alignment horizontal="right"/>
    </xf>
    <xf numFmtId="172" fontId="1" fillId="0" borderId="0" xfId="0" applyFont="1" applyFill="1" applyAlignment="1"/>
    <xf numFmtId="172" fontId="15" fillId="0" borderId="0" xfId="0" applyFont="1" applyFill="1" applyAlignment="1"/>
    <xf numFmtId="172" fontId="82" fillId="0" borderId="0" xfId="0" applyFont="1" applyFill="1" applyAlignment="1"/>
    <xf numFmtId="43" fontId="0" fillId="0" borderId="0" xfId="105" applyFont="1" applyFill="1" applyAlignment="1"/>
    <xf numFmtId="3" fontId="3" fillId="0" borderId="0" xfId="0" applyNumberFormat="1" applyFont="1" applyFill="1" applyAlignment="1">
      <alignment horizontal="fill"/>
    </xf>
    <xf numFmtId="3" fontId="82" fillId="0" borderId="0" xfId="0" applyNumberFormat="1" applyFont="1" applyFill="1" applyAlignment="1"/>
    <xf numFmtId="43" fontId="3" fillId="0" borderId="0" xfId="105" applyFont="1" applyFill="1" applyAlignment="1">
      <alignment horizontal="center"/>
    </xf>
    <xf numFmtId="0" fontId="3" fillId="0" borderId="0" xfId="0" applyNumberFormat="1" applyFont="1" applyFill="1" applyAlignment="1">
      <alignment horizontal="fill"/>
    </xf>
    <xf numFmtId="3" fontId="36" fillId="0" borderId="0" xfId="0" applyNumberFormat="1" applyFont="1" applyFill="1" applyAlignment="1"/>
    <xf numFmtId="43" fontId="85" fillId="0" borderId="0" xfId="165" applyNumberFormat="1" applyFont="1"/>
    <xf numFmtId="0" fontId="9" fillId="0" borderId="0" xfId="165" applyFont="1" applyFill="1"/>
    <xf numFmtId="0" fontId="6" fillId="0" borderId="19" xfId="163" applyFill="1" applyBorder="1" applyAlignment="1">
      <alignment horizontal="center"/>
    </xf>
    <xf numFmtId="0" fontId="6" fillId="0" borderId="34" xfId="163" applyFill="1" applyBorder="1" applyAlignment="1">
      <alignment horizontal="center"/>
    </xf>
    <xf numFmtId="0" fontId="6" fillId="0" borderId="21" xfId="163" applyFill="1" applyBorder="1" applyAlignment="1">
      <alignment horizontal="center"/>
    </xf>
    <xf numFmtId="0" fontId="6" fillId="0" borderId="35" xfId="163" applyFill="1" applyBorder="1" applyAlignment="1">
      <alignment horizontal="center"/>
    </xf>
    <xf numFmtId="0" fontId="6" fillId="0" borderId="22" xfId="163" applyFill="1" applyBorder="1" applyAlignment="1">
      <alignment horizontal="center"/>
    </xf>
    <xf numFmtId="0" fontId="6" fillId="0" borderId="36" xfId="163" applyFill="1" applyBorder="1" applyAlignment="1">
      <alignment horizontal="center"/>
    </xf>
    <xf numFmtId="0" fontId="3" fillId="0" borderId="0" xfId="166" applyFont="1" applyFill="1" applyAlignment="1">
      <alignment horizontal="left"/>
    </xf>
    <xf numFmtId="176" fontId="6" fillId="32" borderId="0" xfId="165" applyNumberFormat="1" applyFill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2" fontId="6" fillId="0" borderId="0" xfId="165" applyNumberFormat="1" applyFill="1"/>
    <xf numFmtId="42" fontId="6" fillId="0" borderId="3" xfId="165" applyNumberFormat="1" applyFill="1" applyBorder="1"/>
    <xf numFmtId="173" fontId="9" fillId="0" borderId="4" xfId="105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3" fontId="37" fillId="0" borderId="0" xfId="0" applyNumberFormat="1" applyFont="1" applyFill="1" applyAlignment="1"/>
    <xf numFmtId="0" fontId="9" fillId="0" borderId="0" xfId="165" applyFont="1" applyAlignment="1">
      <alignment horizontal="center"/>
    </xf>
    <xf numFmtId="0" fontId="6" fillId="0" borderId="0" xfId="165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9" fillId="0" borderId="0" xfId="166" applyFont="1" applyAlignment="1">
      <alignment horizontal="center" wrapText="1"/>
    </xf>
    <xf numFmtId="0" fontId="9" fillId="0" borderId="0" xfId="166" applyFont="1" applyAlignment="1">
      <alignment horizontal="center"/>
    </xf>
    <xf numFmtId="0" fontId="6" fillId="0" borderId="0" xfId="166" applyAlignment="1">
      <alignment horizontal="left"/>
    </xf>
    <xf numFmtId="0" fontId="5" fillId="0" borderId="0" xfId="166" applyFont="1" applyAlignment="1">
      <alignment horizontal="center"/>
    </xf>
    <xf numFmtId="0" fontId="5" fillId="0" borderId="40" xfId="165" applyFont="1" applyBorder="1" applyAlignment="1">
      <alignment horizontal="center"/>
    </xf>
    <xf numFmtId="0" fontId="5" fillId="0" borderId="10" xfId="165" applyFont="1" applyBorder="1" applyAlignment="1">
      <alignment horizontal="center"/>
    </xf>
    <xf numFmtId="0" fontId="5" fillId="0" borderId="41" xfId="165" applyFont="1" applyBorder="1" applyAlignment="1">
      <alignment horizontal="center"/>
    </xf>
    <xf numFmtId="0" fontId="5" fillId="30" borderId="40" xfId="165" applyFont="1" applyFill="1" applyBorder="1" applyAlignment="1">
      <alignment horizontal="center"/>
    </xf>
    <xf numFmtId="0" fontId="5" fillId="30" borderId="10" xfId="165" applyFont="1" applyFill="1" applyBorder="1" applyAlignment="1">
      <alignment horizontal="center"/>
    </xf>
    <xf numFmtId="0" fontId="5" fillId="30" borderId="41" xfId="165" applyFont="1" applyFill="1" applyBorder="1" applyAlignment="1">
      <alignment horizontal="center"/>
    </xf>
    <xf numFmtId="0" fontId="86" fillId="0" borderId="0" xfId="0" applyNumberFormat="1" applyFont="1" applyFill="1" applyAlignment="1"/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0" fontId="35" fillId="0" borderId="0" xfId="0" applyNumberFormat="1" applyFont="1" applyFill="1" applyAlignment="1"/>
    <xf numFmtId="0" fontId="0" fillId="0" borderId="0" xfId="0" applyNumberFormat="1" applyFill="1" applyAlignment="1"/>
  </cellXfs>
  <cellStyles count="238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2" xfId="14" builtinId="34" customBuiltin="1"/>
    <cellStyle name="20% - Accent2 2" xfId="15" xr:uid="{00000000-0005-0000-0000-00000E000000}"/>
    <cellStyle name="20% - Accent3" xfId="16" builtinId="38" customBuiltin="1"/>
    <cellStyle name="20% - Accent3 2" xfId="17" xr:uid="{00000000-0005-0000-0000-000010000000}"/>
    <cellStyle name="20% - Accent4" xfId="18" builtinId="42" customBuiltin="1"/>
    <cellStyle name="20% - Accent4 2" xfId="19" xr:uid="{00000000-0005-0000-0000-000012000000}"/>
    <cellStyle name="20% - Accent5" xfId="20" builtinId="46" customBuiltin="1"/>
    <cellStyle name="20% - Accent5 2" xfId="21" xr:uid="{00000000-0005-0000-0000-000014000000}"/>
    <cellStyle name="20% - Accent6" xfId="22" builtinId="50" customBuiltin="1"/>
    <cellStyle name="20% - Accent6 2" xfId="23" xr:uid="{00000000-0005-0000-0000-000016000000}"/>
    <cellStyle name="40% - Accent1" xfId="24" builtinId="31" customBuiltin="1"/>
    <cellStyle name="40% - Accent1 2" xfId="25" xr:uid="{00000000-0005-0000-0000-000018000000}"/>
    <cellStyle name="40% - Accent2" xfId="26" builtinId="35" customBuiltin="1"/>
    <cellStyle name="40% - Accent2 2" xfId="27" xr:uid="{00000000-0005-0000-0000-00001A000000}"/>
    <cellStyle name="40% - Accent3" xfId="28" builtinId="39" customBuiltin="1"/>
    <cellStyle name="40% - Accent3 2" xfId="29" xr:uid="{00000000-0005-0000-0000-00001C000000}"/>
    <cellStyle name="40% - Accent4" xfId="30" builtinId="43" customBuiltin="1"/>
    <cellStyle name="40% - Accent4 2" xfId="31" xr:uid="{00000000-0005-0000-0000-00001E000000}"/>
    <cellStyle name="40% - Accent5" xfId="32" builtinId="47" customBuiltin="1"/>
    <cellStyle name="40% - Accent5 2" xfId="33" xr:uid="{00000000-0005-0000-0000-000020000000}"/>
    <cellStyle name="40% - Accent6" xfId="34" builtinId="51" customBuiltin="1"/>
    <cellStyle name="40% - Accent6 2" xfId="35" xr:uid="{00000000-0005-0000-0000-000022000000}"/>
    <cellStyle name="60% - Accent1" xfId="36" builtinId="32" customBuiltin="1"/>
    <cellStyle name="60% - Accent1 2" xfId="37" xr:uid="{00000000-0005-0000-0000-000024000000}"/>
    <cellStyle name="60% - Accent2" xfId="38" builtinId="36" customBuiltin="1"/>
    <cellStyle name="60% - Accent2 2" xfId="39" xr:uid="{00000000-0005-0000-0000-000026000000}"/>
    <cellStyle name="60% - Accent3" xfId="40" builtinId="40" customBuiltin="1"/>
    <cellStyle name="60% - Accent3 2" xfId="41" xr:uid="{00000000-0005-0000-0000-000028000000}"/>
    <cellStyle name="60% - Accent4" xfId="42" builtinId="44" customBuiltin="1"/>
    <cellStyle name="60% - Accent4 2" xfId="43" xr:uid="{00000000-0005-0000-0000-00002A000000}"/>
    <cellStyle name="60% - Accent5" xfId="44" builtinId="48" customBuiltin="1"/>
    <cellStyle name="60% - Accent5 2" xfId="45" xr:uid="{00000000-0005-0000-0000-00002C000000}"/>
    <cellStyle name="60% - Accent6" xfId="46" builtinId="52" customBuiltin="1"/>
    <cellStyle name="60% - Accent6 2" xfId="47" xr:uid="{00000000-0005-0000-0000-00002E000000}"/>
    <cellStyle name="Accent1" xfId="48" builtinId="29" customBuiltin="1"/>
    <cellStyle name="Accent1 2" xfId="49" xr:uid="{00000000-0005-0000-0000-000030000000}"/>
    <cellStyle name="Accent2" xfId="50" builtinId="33" customBuiltin="1"/>
    <cellStyle name="Accent2 2" xfId="51" xr:uid="{00000000-0005-0000-0000-000032000000}"/>
    <cellStyle name="Accent3" xfId="52" builtinId="37" customBuiltin="1"/>
    <cellStyle name="Accent3 2" xfId="53" xr:uid="{00000000-0005-0000-0000-000034000000}"/>
    <cellStyle name="Accent4" xfId="54" builtinId="41" customBuiltin="1"/>
    <cellStyle name="Accent4 2" xfId="55" xr:uid="{00000000-0005-0000-0000-000036000000}"/>
    <cellStyle name="Accent5" xfId="56" builtinId="45" customBuiltin="1"/>
    <cellStyle name="Accent5 2" xfId="57" xr:uid="{00000000-0005-0000-0000-000038000000}"/>
    <cellStyle name="Accent6" xfId="58" builtinId="49" customBuiltin="1"/>
    <cellStyle name="Accent6 2" xfId="59" xr:uid="{00000000-0005-0000-0000-00003A000000}"/>
    <cellStyle name="Accounting" xfId="60" xr:uid="{00000000-0005-0000-0000-00003B000000}"/>
    <cellStyle name="Actual Date" xfId="61" xr:uid="{00000000-0005-0000-0000-00003C000000}"/>
    <cellStyle name="ADDR" xfId="62" xr:uid="{00000000-0005-0000-0000-00003D000000}"/>
    <cellStyle name="Agara" xfId="63" xr:uid="{00000000-0005-0000-0000-00003E000000}"/>
    <cellStyle name="Bad" xfId="64" builtinId="27" customBuiltin="1"/>
    <cellStyle name="Bad 2" xfId="65" xr:uid="{00000000-0005-0000-0000-000040000000}"/>
    <cellStyle name="Body" xfId="66" xr:uid="{00000000-0005-0000-0000-000041000000}"/>
    <cellStyle name="Bottom bold border" xfId="67" xr:uid="{00000000-0005-0000-0000-000042000000}"/>
    <cellStyle name="Bottom single border" xfId="68" xr:uid="{00000000-0005-0000-0000-000043000000}"/>
    <cellStyle name="Business Unit" xfId="69" xr:uid="{00000000-0005-0000-0000-000044000000}"/>
    <cellStyle name="C00A" xfId="70" xr:uid="{00000000-0005-0000-0000-000045000000}"/>
    <cellStyle name="C00B" xfId="71" xr:uid="{00000000-0005-0000-0000-000046000000}"/>
    <cellStyle name="C00L" xfId="72" xr:uid="{00000000-0005-0000-0000-000047000000}"/>
    <cellStyle name="C01A" xfId="73" xr:uid="{00000000-0005-0000-0000-000048000000}"/>
    <cellStyle name="C01B" xfId="74" xr:uid="{00000000-0005-0000-0000-000049000000}"/>
    <cellStyle name="C01H" xfId="75" xr:uid="{00000000-0005-0000-0000-00004A000000}"/>
    <cellStyle name="C01L" xfId="76" xr:uid="{00000000-0005-0000-0000-00004B000000}"/>
    <cellStyle name="C02A" xfId="77" xr:uid="{00000000-0005-0000-0000-00004C000000}"/>
    <cellStyle name="C02B" xfId="78" xr:uid="{00000000-0005-0000-0000-00004D000000}"/>
    <cellStyle name="C02H" xfId="79" xr:uid="{00000000-0005-0000-0000-00004E000000}"/>
    <cellStyle name="C02L" xfId="80" xr:uid="{00000000-0005-0000-0000-00004F000000}"/>
    <cellStyle name="C03A" xfId="81" xr:uid="{00000000-0005-0000-0000-000050000000}"/>
    <cellStyle name="C03B" xfId="82" xr:uid="{00000000-0005-0000-0000-000051000000}"/>
    <cellStyle name="C03H" xfId="83" xr:uid="{00000000-0005-0000-0000-000052000000}"/>
    <cellStyle name="C03L" xfId="84" xr:uid="{00000000-0005-0000-0000-000053000000}"/>
    <cellStyle name="C04A" xfId="85" xr:uid="{00000000-0005-0000-0000-000054000000}"/>
    <cellStyle name="C04B" xfId="86" xr:uid="{00000000-0005-0000-0000-000055000000}"/>
    <cellStyle name="C04H" xfId="87" xr:uid="{00000000-0005-0000-0000-000056000000}"/>
    <cellStyle name="C04L" xfId="88" xr:uid="{00000000-0005-0000-0000-000057000000}"/>
    <cellStyle name="C05A" xfId="89" xr:uid="{00000000-0005-0000-0000-000058000000}"/>
    <cellStyle name="C05B" xfId="90" xr:uid="{00000000-0005-0000-0000-000059000000}"/>
    <cellStyle name="C05H" xfId="91" xr:uid="{00000000-0005-0000-0000-00005A000000}"/>
    <cellStyle name="C05L" xfId="92" xr:uid="{00000000-0005-0000-0000-00005B000000}"/>
    <cellStyle name="C06A" xfId="93" xr:uid="{00000000-0005-0000-0000-00005C000000}"/>
    <cellStyle name="C06B" xfId="94" xr:uid="{00000000-0005-0000-0000-00005D000000}"/>
    <cellStyle name="C06H" xfId="95" xr:uid="{00000000-0005-0000-0000-00005E000000}"/>
    <cellStyle name="C06L" xfId="96" xr:uid="{00000000-0005-0000-0000-00005F000000}"/>
    <cellStyle name="C07A" xfId="97" xr:uid="{00000000-0005-0000-0000-000060000000}"/>
    <cellStyle name="C07B" xfId="98" xr:uid="{00000000-0005-0000-0000-000061000000}"/>
    <cellStyle name="C07H" xfId="99" xr:uid="{00000000-0005-0000-0000-000062000000}"/>
    <cellStyle name="C07L" xfId="100" xr:uid="{00000000-0005-0000-0000-000063000000}"/>
    <cellStyle name="Calculation" xfId="101" builtinId="22" customBuiltin="1"/>
    <cellStyle name="Calculation 2" xfId="102" xr:uid="{00000000-0005-0000-0000-000065000000}"/>
    <cellStyle name="Check Cell" xfId="103" builtinId="23" customBuiltin="1"/>
    <cellStyle name="Check Cell 2" xfId="104" xr:uid="{00000000-0005-0000-0000-000067000000}"/>
    <cellStyle name="Comma" xfId="105" builtinId="3"/>
    <cellStyle name="Comma 0" xfId="106" xr:uid="{00000000-0005-0000-0000-000069000000}"/>
    <cellStyle name="Comma 2" xfId="107" xr:uid="{00000000-0005-0000-0000-00006A000000}"/>
    <cellStyle name="Comma 3" xfId="108" xr:uid="{00000000-0005-0000-0000-00006B000000}"/>
    <cellStyle name="Comma 4" xfId="109" xr:uid="{00000000-0005-0000-0000-00006C000000}"/>
    <cellStyle name="Comma0 - Style1" xfId="110" xr:uid="{00000000-0005-0000-0000-00006D000000}"/>
    <cellStyle name="Currency" xfId="111" builtinId="4"/>
    <cellStyle name="Currency 2" xfId="112" xr:uid="{00000000-0005-0000-0000-00006F000000}"/>
    <cellStyle name="Date" xfId="113" xr:uid="{00000000-0005-0000-0000-000070000000}"/>
    <cellStyle name="Euro" xfId="114" xr:uid="{00000000-0005-0000-0000-000071000000}"/>
    <cellStyle name="Explanatory Text" xfId="115" builtinId="53" customBuiltin="1"/>
    <cellStyle name="Explanatory Text 2" xfId="116" xr:uid="{00000000-0005-0000-0000-000073000000}"/>
    <cellStyle name="Fixed" xfId="117" xr:uid="{00000000-0005-0000-0000-000074000000}"/>
    <cellStyle name="Fixed1 - Style1" xfId="118" xr:uid="{00000000-0005-0000-0000-000075000000}"/>
    <cellStyle name="Gilsans" xfId="119" xr:uid="{00000000-0005-0000-0000-000076000000}"/>
    <cellStyle name="Gilsansl" xfId="120" xr:uid="{00000000-0005-0000-0000-000077000000}"/>
    <cellStyle name="Good" xfId="121" builtinId="26" customBuiltin="1"/>
    <cellStyle name="Good 2" xfId="122" xr:uid="{00000000-0005-0000-0000-000079000000}"/>
    <cellStyle name="Grey" xfId="123" xr:uid="{00000000-0005-0000-0000-00007A000000}"/>
    <cellStyle name="HEADER" xfId="124" xr:uid="{00000000-0005-0000-0000-00007B000000}"/>
    <cellStyle name="Header1" xfId="125" xr:uid="{00000000-0005-0000-0000-00007C000000}"/>
    <cellStyle name="Header2" xfId="126" xr:uid="{00000000-0005-0000-0000-00007D000000}"/>
    <cellStyle name="Heading" xfId="127" xr:uid="{00000000-0005-0000-0000-00007E000000}"/>
    <cellStyle name="Heading 1" xfId="128" builtinId="16" customBuiltin="1"/>
    <cellStyle name="Heading 1 2" xfId="129" xr:uid="{00000000-0005-0000-0000-000080000000}"/>
    <cellStyle name="Heading 2" xfId="130" builtinId="17" customBuiltin="1"/>
    <cellStyle name="Heading 2 2" xfId="131" xr:uid="{00000000-0005-0000-0000-000082000000}"/>
    <cellStyle name="Heading 3" xfId="132" builtinId="18" customBuiltin="1"/>
    <cellStyle name="Heading 3 2" xfId="133" xr:uid="{00000000-0005-0000-0000-000084000000}"/>
    <cellStyle name="Heading 4" xfId="134" builtinId="19" customBuiltin="1"/>
    <cellStyle name="Heading 4 2" xfId="135" xr:uid="{00000000-0005-0000-0000-000086000000}"/>
    <cellStyle name="Heading1" xfId="136" xr:uid="{00000000-0005-0000-0000-000087000000}"/>
    <cellStyle name="Heading2" xfId="137" xr:uid="{00000000-0005-0000-0000-000088000000}"/>
    <cellStyle name="HIGHLIGHT" xfId="138" xr:uid="{00000000-0005-0000-0000-000089000000}"/>
    <cellStyle name="Input" xfId="139" builtinId="20" customBuiltin="1"/>
    <cellStyle name="Input [yellow]" xfId="140" xr:uid="{00000000-0005-0000-0000-00008B000000}"/>
    <cellStyle name="Input 2" xfId="141" xr:uid="{00000000-0005-0000-0000-00008C000000}"/>
    <cellStyle name="Lines" xfId="142" xr:uid="{00000000-0005-0000-0000-00008D000000}"/>
    <cellStyle name="Linked Cell" xfId="143" builtinId="24" customBuiltin="1"/>
    <cellStyle name="Linked Cell 2" xfId="144" xr:uid="{00000000-0005-0000-0000-00008F000000}"/>
    <cellStyle name="MEM SSN" xfId="145" xr:uid="{00000000-0005-0000-0000-000090000000}"/>
    <cellStyle name="Mine" xfId="146" xr:uid="{00000000-0005-0000-0000-000091000000}"/>
    <cellStyle name="mmm-yy" xfId="147" xr:uid="{00000000-0005-0000-0000-000092000000}"/>
    <cellStyle name="Monétaire [0]_pldt" xfId="148" xr:uid="{00000000-0005-0000-0000-000093000000}"/>
    <cellStyle name="Monétaire_pldt" xfId="149" xr:uid="{00000000-0005-0000-0000-000094000000}"/>
    <cellStyle name="Neutral" xfId="150" builtinId="28" customBuiltin="1"/>
    <cellStyle name="Neutral 2" xfId="151" xr:uid="{00000000-0005-0000-0000-000096000000}"/>
    <cellStyle name="New" xfId="152" xr:uid="{00000000-0005-0000-0000-000097000000}"/>
    <cellStyle name="No Border" xfId="153" xr:uid="{00000000-0005-0000-0000-000098000000}"/>
    <cellStyle name="no dec" xfId="154" xr:uid="{00000000-0005-0000-0000-000099000000}"/>
    <cellStyle name="Normal" xfId="0" builtinId="0"/>
    <cellStyle name="Normal - Style1" xfId="155" xr:uid="{00000000-0005-0000-0000-00009B000000}"/>
    <cellStyle name="Normal 2" xfId="156" xr:uid="{00000000-0005-0000-0000-00009C000000}"/>
    <cellStyle name="Normal 2 2" xfId="157" xr:uid="{00000000-0005-0000-0000-00009D000000}"/>
    <cellStyle name="Normal 3" xfId="158" xr:uid="{00000000-0005-0000-0000-00009E000000}"/>
    <cellStyle name="Normal 3 2" xfId="159" xr:uid="{00000000-0005-0000-0000-00009F000000}"/>
    <cellStyle name="Normal 3 5" xfId="237" xr:uid="{2D561CBC-6DDE-4252-AB6B-451610AA55C7}"/>
    <cellStyle name="Normal CEN" xfId="160" xr:uid="{00000000-0005-0000-0000-0000A0000000}"/>
    <cellStyle name="Normal Centered" xfId="161" xr:uid="{00000000-0005-0000-0000-0000A1000000}"/>
    <cellStyle name="NORMAL CTR" xfId="162" xr:uid="{00000000-0005-0000-0000-0000A2000000}"/>
    <cellStyle name="Normal_2002 AREA LOADS FOR JNT TARIFF" xfId="163" xr:uid="{00000000-0005-0000-0000-0000A3000000}"/>
    <cellStyle name="Normal_BHP WP2" xfId="164" xr:uid="{00000000-0005-0000-0000-0000A4000000}"/>
    <cellStyle name="Normal_CU AC Rate Design" xfId="165" xr:uid="{00000000-0005-0000-0000-0000A5000000}"/>
    <cellStyle name="Normal_PRECorp2002HeintzResponse 8-21-03" xfId="166" xr:uid="{00000000-0005-0000-0000-0000A6000000}"/>
    <cellStyle name="Normal_TopSheet Type Ancillaries Worksheet-Updated 81903" xfId="167" xr:uid="{00000000-0005-0000-0000-0000A7000000}"/>
    <cellStyle name="Note" xfId="168" builtinId="10" customBuiltin="1"/>
    <cellStyle name="Note 2" xfId="169" xr:uid="{00000000-0005-0000-0000-0000A9000000}"/>
    <cellStyle name="nUMBER" xfId="170" xr:uid="{00000000-0005-0000-0000-0000AA000000}"/>
    <cellStyle name="Output" xfId="171" builtinId="21" customBuiltin="1"/>
    <cellStyle name="Output 2" xfId="172" xr:uid="{00000000-0005-0000-0000-0000AC000000}"/>
    <cellStyle name="Percent" xfId="173" builtinId="5"/>
    <cellStyle name="Percent [2]" xfId="174" xr:uid="{00000000-0005-0000-0000-0000AE000000}"/>
    <cellStyle name="Percent 2" xfId="175" xr:uid="{00000000-0005-0000-0000-0000AF000000}"/>
    <cellStyle name="PSChar" xfId="176" xr:uid="{00000000-0005-0000-0000-0000B0000000}"/>
    <cellStyle name="PSDate" xfId="177" xr:uid="{00000000-0005-0000-0000-0000B1000000}"/>
    <cellStyle name="PSDec" xfId="178" xr:uid="{00000000-0005-0000-0000-0000B2000000}"/>
    <cellStyle name="PSHeading" xfId="179" xr:uid="{00000000-0005-0000-0000-0000B3000000}"/>
    <cellStyle name="PSInt" xfId="180" xr:uid="{00000000-0005-0000-0000-0000B4000000}"/>
    <cellStyle name="PSSpacer" xfId="181" xr:uid="{00000000-0005-0000-0000-0000B5000000}"/>
    <cellStyle name="R00A" xfId="182" xr:uid="{00000000-0005-0000-0000-0000B6000000}"/>
    <cellStyle name="R00B" xfId="183" xr:uid="{00000000-0005-0000-0000-0000B7000000}"/>
    <cellStyle name="R00L" xfId="184" xr:uid="{00000000-0005-0000-0000-0000B8000000}"/>
    <cellStyle name="R01A" xfId="185" xr:uid="{00000000-0005-0000-0000-0000B9000000}"/>
    <cellStyle name="R01B" xfId="186" xr:uid="{00000000-0005-0000-0000-0000BA000000}"/>
    <cellStyle name="R01H" xfId="187" xr:uid="{00000000-0005-0000-0000-0000BB000000}"/>
    <cellStyle name="R01L" xfId="188" xr:uid="{00000000-0005-0000-0000-0000BC000000}"/>
    <cellStyle name="R02A" xfId="189" xr:uid="{00000000-0005-0000-0000-0000BD000000}"/>
    <cellStyle name="R02B" xfId="190" xr:uid="{00000000-0005-0000-0000-0000BE000000}"/>
    <cellStyle name="R02H" xfId="191" xr:uid="{00000000-0005-0000-0000-0000BF000000}"/>
    <cellStyle name="R02L" xfId="192" xr:uid="{00000000-0005-0000-0000-0000C0000000}"/>
    <cellStyle name="R03A" xfId="193" xr:uid="{00000000-0005-0000-0000-0000C1000000}"/>
    <cellStyle name="R03B" xfId="194" xr:uid="{00000000-0005-0000-0000-0000C2000000}"/>
    <cellStyle name="R03H" xfId="195" xr:uid="{00000000-0005-0000-0000-0000C3000000}"/>
    <cellStyle name="R03L" xfId="196" xr:uid="{00000000-0005-0000-0000-0000C4000000}"/>
    <cellStyle name="R04A" xfId="197" xr:uid="{00000000-0005-0000-0000-0000C5000000}"/>
    <cellStyle name="R04B" xfId="198" xr:uid="{00000000-0005-0000-0000-0000C6000000}"/>
    <cellStyle name="R04H" xfId="199" xr:uid="{00000000-0005-0000-0000-0000C7000000}"/>
    <cellStyle name="R04L" xfId="200" xr:uid="{00000000-0005-0000-0000-0000C8000000}"/>
    <cellStyle name="R05A" xfId="201" xr:uid="{00000000-0005-0000-0000-0000C9000000}"/>
    <cellStyle name="R05B" xfId="202" xr:uid="{00000000-0005-0000-0000-0000CA000000}"/>
    <cellStyle name="R05H" xfId="203" xr:uid="{00000000-0005-0000-0000-0000CB000000}"/>
    <cellStyle name="R05L" xfId="204" xr:uid="{00000000-0005-0000-0000-0000CC000000}"/>
    <cellStyle name="R06A" xfId="205" xr:uid="{00000000-0005-0000-0000-0000CD000000}"/>
    <cellStyle name="R06B" xfId="206" xr:uid="{00000000-0005-0000-0000-0000CE000000}"/>
    <cellStyle name="R06H" xfId="207" xr:uid="{00000000-0005-0000-0000-0000CF000000}"/>
    <cellStyle name="R06L" xfId="208" xr:uid="{00000000-0005-0000-0000-0000D0000000}"/>
    <cellStyle name="R07A" xfId="209" xr:uid="{00000000-0005-0000-0000-0000D1000000}"/>
    <cellStyle name="R07B" xfId="210" xr:uid="{00000000-0005-0000-0000-0000D2000000}"/>
    <cellStyle name="R07H" xfId="211" xr:uid="{00000000-0005-0000-0000-0000D3000000}"/>
    <cellStyle name="R07L" xfId="212" xr:uid="{00000000-0005-0000-0000-0000D4000000}"/>
    <cellStyle name="Resource Detail" xfId="213" xr:uid="{00000000-0005-0000-0000-0000D5000000}"/>
    <cellStyle name="Shade" xfId="214" xr:uid="{00000000-0005-0000-0000-0000D6000000}"/>
    <cellStyle name="single acct" xfId="215" xr:uid="{00000000-0005-0000-0000-0000D7000000}"/>
    <cellStyle name="Single Border" xfId="216" xr:uid="{00000000-0005-0000-0000-0000D8000000}"/>
    <cellStyle name="Small Page Heading" xfId="217" xr:uid="{00000000-0005-0000-0000-0000D9000000}"/>
    <cellStyle name="ssn" xfId="218" xr:uid="{00000000-0005-0000-0000-0000DA000000}"/>
    <cellStyle name="Style 1" xfId="219" xr:uid="{00000000-0005-0000-0000-0000DB000000}"/>
    <cellStyle name="Style 2" xfId="220" xr:uid="{00000000-0005-0000-0000-0000DC000000}"/>
    <cellStyle name="Style 27" xfId="221" xr:uid="{00000000-0005-0000-0000-0000DD000000}"/>
    <cellStyle name="Style 28" xfId="222" xr:uid="{00000000-0005-0000-0000-0000DE000000}"/>
    <cellStyle name="Table Sub Heading" xfId="223" xr:uid="{00000000-0005-0000-0000-0000DF000000}"/>
    <cellStyle name="Table Title" xfId="224" xr:uid="{00000000-0005-0000-0000-0000E0000000}"/>
    <cellStyle name="Table Units" xfId="225" xr:uid="{00000000-0005-0000-0000-0000E1000000}"/>
    <cellStyle name="Theirs" xfId="226" xr:uid="{00000000-0005-0000-0000-0000E2000000}"/>
    <cellStyle name="Times New Roman" xfId="227" xr:uid="{00000000-0005-0000-0000-0000E3000000}"/>
    <cellStyle name="Title" xfId="228" builtinId="15" customBuiltin="1"/>
    <cellStyle name="Title 2" xfId="229" xr:uid="{00000000-0005-0000-0000-0000E5000000}"/>
    <cellStyle name="Total" xfId="230" builtinId="25" customBuiltin="1"/>
    <cellStyle name="Total 2" xfId="231" xr:uid="{00000000-0005-0000-0000-0000E7000000}"/>
    <cellStyle name="Unprot" xfId="232" xr:uid="{00000000-0005-0000-0000-0000E8000000}"/>
    <cellStyle name="Unprot$" xfId="233" xr:uid="{00000000-0005-0000-0000-0000E9000000}"/>
    <cellStyle name="Unprotect" xfId="234" xr:uid="{00000000-0005-0000-0000-0000EA000000}"/>
    <cellStyle name="Warning Text" xfId="235" builtinId="11" customBuiltin="1"/>
    <cellStyle name="Warning Text 2" xfId="236" xr:uid="{00000000-0005-0000-0000-0000E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46"/>
  <sheetViews>
    <sheetView tabSelected="1" zoomScaleNormal="100" workbookViewId="0">
      <selection activeCell="K18" sqref="K18"/>
    </sheetView>
  </sheetViews>
  <sheetFormatPr defaultColWidth="7.08984375" defaultRowHeight="13.2"/>
  <cols>
    <col min="1" max="1" width="3.81640625" style="5" customWidth="1"/>
    <col min="2" max="2" width="9.7265625" style="6" customWidth="1"/>
    <col min="3" max="3" width="6.81640625" style="6" customWidth="1"/>
    <col min="4" max="4" width="11.54296875" style="6" customWidth="1"/>
    <col min="5" max="5" width="11.54296875" style="6" bestFit="1" customWidth="1"/>
    <col min="6" max="6" width="12.08984375" style="6" customWidth="1"/>
    <col min="7" max="7" width="8.81640625" style="6" bestFit="1" customWidth="1"/>
    <col min="8" max="8" width="9.54296875" style="6" bestFit="1" customWidth="1"/>
    <col min="9" max="9" width="7.08984375" style="6" customWidth="1"/>
    <col min="10" max="10" width="8.81640625" style="6" bestFit="1" customWidth="1"/>
    <col min="11" max="11" width="7.08984375" style="6" customWidth="1"/>
    <col min="12" max="12" width="11.453125" style="6" customWidth="1"/>
    <col min="13" max="16384" width="7.08984375" style="6"/>
  </cols>
  <sheetData>
    <row r="1" spans="1:14" ht="27" customHeight="1">
      <c r="G1" s="309" t="s">
        <v>385</v>
      </c>
      <c r="H1" s="309"/>
      <c r="N1" s="280"/>
    </row>
    <row r="2" spans="1:14">
      <c r="G2" s="53"/>
      <c r="H2" s="54"/>
      <c r="I2" s="54"/>
      <c r="J2" s="54"/>
    </row>
    <row r="3" spans="1:14" ht="15" customHeight="1">
      <c r="A3" s="308" t="s">
        <v>273</v>
      </c>
      <c r="B3" s="308"/>
      <c r="C3" s="308"/>
      <c r="D3" s="308"/>
      <c r="E3" s="308"/>
      <c r="F3" s="308"/>
      <c r="G3" s="308"/>
      <c r="H3" s="308"/>
    </row>
    <row r="4" spans="1:14" ht="15" customHeight="1">
      <c r="A4" s="308" t="s">
        <v>43</v>
      </c>
      <c r="B4" s="308"/>
      <c r="C4" s="308"/>
      <c r="D4" s="308"/>
      <c r="E4" s="308"/>
      <c r="F4" s="308"/>
      <c r="G4" s="308"/>
      <c r="H4" s="308"/>
    </row>
    <row r="6" spans="1:14">
      <c r="A6" s="7" t="s">
        <v>38</v>
      </c>
    </row>
    <row r="8" spans="1:14">
      <c r="A8" s="5">
        <v>1</v>
      </c>
      <c r="B8" s="26" t="s">
        <v>80</v>
      </c>
      <c r="D8" s="53"/>
      <c r="E8" s="54"/>
      <c r="G8" s="53"/>
      <c r="H8" s="273">
        <v>799485.82</v>
      </c>
      <c r="I8" s="53" t="s">
        <v>386</v>
      </c>
      <c r="K8" s="54"/>
      <c r="N8" s="280"/>
    </row>
    <row r="9" spans="1:14">
      <c r="G9" s="26"/>
      <c r="H9" s="26"/>
    </row>
    <row r="10" spans="1:14" ht="40.200000000000003" thickBot="1">
      <c r="D10" s="8" t="str">
        <f>+B20</f>
        <v>Entity</v>
      </c>
      <c r="E10" s="9"/>
      <c r="F10" s="48" t="s">
        <v>114</v>
      </c>
      <c r="G10" s="108" t="s">
        <v>192</v>
      </c>
      <c r="H10" s="48" t="s">
        <v>275</v>
      </c>
    </row>
    <row r="11" spans="1:14">
      <c r="D11" s="5"/>
      <c r="F11" s="11"/>
      <c r="G11" s="109"/>
      <c r="H11" s="110"/>
    </row>
    <row r="12" spans="1:14">
      <c r="A12" s="5">
        <v>2</v>
      </c>
      <c r="D12" s="6" t="s">
        <v>276</v>
      </c>
      <c r="F12" s="49">
        <f>+L22</f>
        <v>33.007471413944543</v>
      </c>
      <c r="G12" s="111">
        <f>+F12/F$15</f>
        <v>0.63580436466253032</v>
      </c>
      <c r="H12" s="112">
        <f>+H$8*G12</f>
        <v>508316.57384180202</v>
      </c>
      <c r="J12" s="12"/>
      <c r="K12" s="13"/>
    </row>
    <row r="13" spans="1:14">
      <c r="A13" s="5">
        <v>3</v>
      </c>
      <c r="D13" s="6" t="s">
        <v>277</v>
      </c>
      <c r="F13" s="50">
        <f>+L23</f>
        <v>16.749167910090389</v>
      </c>
      <c r="G13" s="111">
        <f>+F13/F$15</f>
        <v>0.32262980487509069</v>
      </c>
      <c r="H13" s="112">
        <f>+H$8*G13</f>
        <v>257937.95410700186</v>
      </c>
      <c r="J13" s="14"/>
      <c r="K13" s="13"/>
    </row>
    <row r="14" spans="1:14" ht="13.8" thickBot="1">
      <c r="A14" s="5">
        <v>4</v>
      </c>
      <c r="D14" s="89" t="s">
        <v>278</v>
      </c>
      <c r="E14" s="89"/>
      <c r="F14" s="90">
        <f>+L24</f>
        <v>2.1578696797906578</v>
      </c>
      <c r="G14" s="91">
        <f>+F14/F$15</f>
        <v>4.1565830462378904E-2</v>
      </c>
      <c r="H14" s="92">
        <f>+H$8*G14</f>
        <v>33231.292051195975</v>
      </c>
      <c r="J14" s="14"/>
      <c r="K14" s="13"/>
    </row>
    <row r="15" spans="1:14">
      <c r="A15" s="5">
        <v>5</v>
      </c>
      <c r="D15" s="6" t="s">
        <v>137</v>
      </c>
      <c r="F15" s="50">
        <f>SUM(F12:F14)</f>
        <v>51.914509003825593</v>
      </c>
      <c r="G15" s="113">
        <f>+F15/F$15</f>
        <v>1</v>
      </c>
      <c r="H15" s="114">
        <f>SUM(H12:H14)</f>
        <v>799485.81999999983</v>
      </c>
      <c r="J15" s="12"/>
    </row>
    <row r="16" spans="1:14">
      <c r="G16" s="26"/>
      <c r="H16" s="26"/>
    </row>
    <row r="17" spans="1:18">
      <c r="G17" s="26"/>
      <c r="H17" s="26"/>
    </row>
    <row r="18" spans="1:18">
      <c r="A18" s="7" t="s">
        <v>279</v>
      </c>
      <c r="E18" s="292" t="s">
        <v>384</v>
      </c>
      <c r="F18" s="54"/>
      <c r="G18" s="53"/>
      <c r="H18" s="53"/>
      <c r="N18" s="280"/>
    </row>
    <row r="19" spans="1:18">
      <c r="G19" s="26"/>
      <c r="H19" s="26"/>
    </row>
    <row r="20" spans="1:18" ht="53.4" thickBot="1">
      <c r="B20" s="9" t="s">
        <v>280</v>
      </c>
      <c r="C20" s="9"/>
      <c r="D20" s="10" t="s">
        <v>115</v>
      </c>
      <c r="E20" s="10" t="s">
        <v>117</v>
      </c>
      <c r="F20" s="10" t="s">
        <v>281</v>
      </c>
      <c r="G20" s="269" t="s">
        <v>387</v>
      </c>
      <c r="H20" s="48" t="s">
        <v>236</v>
      </c>
      <c r="N20" s="280"/>
    </row>
    <row r="21" spans="1:18">
      <c r="G21" s="26"/>
      <c r="H21" s="26"/>
      <c r="M21" s="99" t="s">
        <v>302</v>
      </c>
      <c r="N21" s="100"/>
      <c r="O21" s="100"/>
      <c r="P21" s="101"/>
    </row>
    <row r="22" spans="1:18">
      <c r="A22" s="5">
        <v>6</v>
      </c>
      <c r="B22" s="6" t="str">
        <f>+D12</f>
        <v>Black Hills</v>
      </c>
      <c r="D22" s="94">
        <f>Estimate!J122</f>
        <v>32481744.208372384</v>
      </c>
      <c r="E22" s="15">
        <f>-H12</f>
        <v>-508316.57384180202</v>
      </c>
      <c r="F22" s="15">
        <f>+E22+D22</f>
        <v>31973427.634530582</v>
      </c>
      <c r="G22" s="30">
        <f>+'WP7 CU AC LOADS'!J44*1000</f>
        <v>968666.66666666663</v>
      </c>
      <c r="H22" s="115">
        <f>+F22/G22</f>
        <v>33.007667895248368</v>
      </c>
      <c r="J22" s="93" t="s">
        <v>83</v>
      </c>
      <c r="L22" s="300">
        <v>33.007471413944543</v>
      </c>
      <c r="M22" s="102" t="s">
        <v>303</v>
      </c>
      <c r="N22" s="103"/>
      <c r="O22" s="103"/>
      <c r="P22" s="104"/>
      <c r="R22" s="291"/>
    </row>
    <row r="23" spans="1:18">
      <c r="A23" s="5">
        <v>7</v>
      </c>
      <c r="B23" s="6" t="str">
        <f>+D13</f>
        <v>Basin Electric</v>
      </c>
      <c r="D23" s="303">
        <v>16482130</v>
      </c>
      <c r="E23" s="15">
        <f>-H13</f>
        <v>-257937.95410700186</v>
      </c>
      <c r="F23" s="15">
        <f>+E23+D23</f>
        <v>16224192.045892999</v>
      </c>
      <c r="G23" s="116">
        <f>+G22</f>
        <v>968666.66666666663</v>
      </c>
      <c r="H23" s="115">
        <f>+F23/G23</f>
        <v>16.748993853296284</v>
      </c>
      <c r="J23" s="93" t="s">
        <v>83</v>
      </c>
      <c r="L23" s="300">
        <v>16.749167910090389</v>
      </c>
      <c r="M23" s="102" t="s">
        <v>304</v>
      </c>
      <c r="N23" s="103"/>
      <c r="O23" s="103"/>
      <c r="P23" s="104"/>
      <c r="R23" s="291"/>
    </row>
    <row r="24" spans="1:18" ht="13.8" thickBot="1">
      <c r="A24" s="5">
        <v>8</v>
      </c>
      <c r="B24" s="9" t="str">
        <f>+D14</f>
        <v>PRECorp</v>
      </c>
      <c r="C24" s="9"/>
      <c r="D24" s="304">
        <v>2123466</v>
      </c>
      <c r="E24" s="18">
        <f>-H14</f>
        <v>-33231.292051195975</v>
      </c>
      <c r="F24" s="18">
        <f>+E24+D24</f>
        <v>2090234.7079488041</v>
      </c>
      <c r="G24" s="117">
        <f>+G23</f>
        <v>968666.66666666663</v>
      </c>
      <c r="H24" s="118">
        <f>+F24/G24</f>
        <v>2.1578472552809402</v>
      </c>
      <c r="J24" s="93" t="s">
        <v>83</v>
      </c>
      <c r="L24" s="300">
        <v>2.1578696797906578</v>
      </c>
      <c r="M24" s="105" t="s">
        <v>305</v>
      </c>
      <c r="N24" s="106"/>
      <c r="O24" s="106"/>
      <c r="P24" s="107"/>
      <c r="R24" s="291"/>
    </row>
    <row r="25" spans="1:18">
      <c r="A25" s="5">
        <v>9</v>
      </c>
      <c r="B25" s="6" t="s">
        <v>137</v>
      </c>
      <c r="D25" s="15">
        <f>SUM(D22:D24)</f>
        <v>51087340.208372384</v>
      </c>
      <c r="E25" s="15">
        <f>SUM(E22:E24)</f>
        <v>-799485.81999999983</v>
      </c>
      <c r="F25" s="15">
        <f>SUM(F22:F24)</f>
        <v>50287854.388372384</v>
      </c>
      <c r="H25" s="16">
        <f>SUM(H22:H24)</f>
        <v>51.914509003825593</v>
      </c>
    </row>
    <row r="26" spans="1:18">
      <c r="F26" s="15"/>
      <c r="G26" s="17"/>
      <c r="H26" s="16"/>
    </row>
    <row r="27" spans="1:18">
      <c r="A27" s="7" t="s">
        <v>282</v>
      </c>
    </row>
    <row r="28" spans="1:18">
      <c r="A28" s="5">
        <v>10</v>
      </c>
      <c r="D28" s="6" t="s">
        <v>283</v>
      </c>
      <c r="F28" s="20">
        <f>+H25</f>
        <v>51.914509003825593</v>
      </c>
      <c r="G28" s="19" t="s">
        <v>284</v>
      </c>
      <c r="H28" s="264">
        <f>ROUND(F28,2)*1000</f>
        <v>51910</v>
      </c>
      <c r="I28" s="6" t="s">
        <v>374</v>
      </c>
    </row>
    <row r="29" spans="1:18">
      <c r="A29" s="5">
        <f t="shared" ref="A29:A34" si="0">+A28+1</f>
        <v>11</v>
      </c>
      <c r="D29" s="6" t="s">
        <v>285</v>
      </c>
      <c r="F29" s="49">
        <f>ROUND(F28/12,2)</f>
        <v>4.33</v>
      </c>
      <c r="G29" s="19" t="s">
        <v>286</v>
      </c>
      <c r="H29" s="264">
        <f t="shared" ref="H29:H34" si="1">F29*1000</f>
        <v>4330</v>
      </c>
      <c r="I29" s="6" t="s">
        <v>374</v>
      </c>
    </row>
    <row r="30" spans="1:18">
      <c r="A30" s="5">
        <f t="shared" si="0"/>
        <v>12</v>
      </c>
      <c r="D30" s="6" t="s">
        <v>287</v>
      </c>
      <c r="F30" s="49">
        <f>ROUND(F28/52,2)</f>
        <v>1</v>
      </c>
      <c r="G30" s="19" t="s">
        <v>288</v>
      </c>
      <c r="H30" s="264">
        <f t="shared" si="1"/>
        <v>1000</v>
      </c>
      <c r="I30" s="6" t="s">
        <v>374</v>
      </c>
    </row>
    <row r="31" spans="1:18">
      <c r="A31" s="5">
        <f t="shared" si="0"/>
        <v>13</v>
      </c>
      <c r="D31" s="6" t="s">
        <v>289</v>
      </c>
      <c r="E31" s="6" t="s">
        <v>290</v>
      </c>
      <c r="F31" s="51">
        <f>+F30/6</f>
        <v>0.16666666666666666</v>
      </c>
      <c r="G31" s="19" t="s">
        <v>291</v>
      </c>
      <c r="H31" s="264">
        <f t="shared" si="1"/>
        <v>166.66666666666666</v>
      </c>
      <c r="I31" s="6" t="s">
        <v>374</v>
      </c>
    </row>
    <row r="32" spans="1:18">
      <c r="A32" s="5">
        <f t="shared" si="0"/>
        <v>14</v>
      </c>
      <c r="D32" s="6" t="s">
        <v>292</v>
      </c>
      <c r="E32" s="6" t="s">
        <v>293</v>
      </c>
      <c r="F32" s="51">
        <f>+F30/7</f>
        <v>0.14285714285714285</v>
      </c>
      <c r="G32" s="19" t="s">
        <v>291</v>
      </c>
      <c r="H32" s="264">
        <f t="shared" si="1"/>
        <v>142.85714285714286</v>
      </c>
      <c r="I32" s="6" t="s">
        <v>374</v>
      </c>
    </row>
    <row r="33" spans="1:9">
      <c r="A33" s="5">
        <f t="shared" si="0"/>
        <v>15</v>
      </c>
      <c r="D33" s="6" t="s">
        <v>294</v>
      </c>
      <c r="E33" s="6" t="s">
        <v>295</v>
      </c>
      <c r="F33" s="52">
        <f>+F31/16</f>
        <v>1.0416666666666666E-2</v>
      </c>
      <c r="G33" s="19" t="s">
        <v>296</v>
      </c>
      <c r="H33" s="264">
        <f t="shared" si="1"/>
        <v>10.416666666666666</v>
      </c>
      <c r="I33" s="6" t="s">
        <v>374</v>
      </c>
    </row>
    <row r="34" spans="1:9">
      <c r="A34" s="5">
        <f t="shared" si="0"/>
        <v>16</v>
      </c>
      <c r="D34" s="6" t="s">
        <v>297</v>
      </c>
      <c r="E34" s="6" t="s">
        <v>298</v>
      </c>
      <c r="F34" s="52">
        <f>+F32/24</f>
        <v>5.9523809523809521E-3</v>
      </c>
      <c r="G34" s="19" t="s">
        <v>296</v>
      </c>
      <c r="H34" s="264">
        <f t="shared" si="1"/>
        <v>5.9523809523809517</v>
      </c>
      <c r="I34" s="6" t="s">
        <v>374</v>
      </c>
    </row>
    <row r="40" spans="1:9">
      <c r="A40" s="7" t="s">
        <v>299</v>
      </c>
    </row>
    <row r="42" spans="1:9">
      <c r="B42" s="6" t="str">
        <f>+D20</f>
        <v>Component Annual Revenue Requirements</v>
      </c>
      <c r="E42" s="15">
        <f>+D25</f>
        <v>51087340.208372384</v>
      </c>
    </row>
    <row r="43" spans="1:9">
      <c r="B43" s="26" t="s">
        <v>274</v>
      </c>
      <c r="E43" s="15">
        <f>+E25</f>
        <v>-799485.81999999983</v>
      </c>
    </row>
    <row r="44" spans="1:9">
      <c r="B44" s="6" t="str">
        <f>+F20</f>
        <v>Net Revenue Requirements</v>
      </c>
      <c r="E44" s="15">
        <f>+F25</f>
        <v>50287854.388372384</v>
      </c>
    </row>
    <row r="45" spans="1:9">
      <c r="B45" s="6" t="str">
        <f>+G20</f>
        <v>Projected 2023 Load</v>
      </c>
      <c r="E45" s="17">
        <f>+G22</f>
        <v>968666.66666666663</v>
      </c>
    </row>
    <row r="46" spans="1:9">
      <c r="B46" s="6" t="str">
        <f>+H20</f>
        <v>Annual Rate</v>
      </c>
      <c r="E46" s="20">
        <f>+E44/E45</f>
        <v>51.914509003825586</v>
      </c>
    </row>
  </sheetData>
  <mergeCells count="3">
    <mergeCell ref="A3:H3"/>
    <mergeCell ref="A4:H4"/>
    <mergeCell ref="G1:H1"/>
  </mergeCells>
  <phoneticPr fontId="14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N235"/>
  <sheetViews>
    <sheetView showGridLines="0" zoomScale="80" zoomScaleNormal="80" workbookViewId="0">
      <pane xSplit="3" ySplit="11" topLeftCell="D99" activePane="bottomRight" state="frozen"/>
      <selection activeCell="G75" sqref="G75"/>
      <selection pane="topRight" activeCell="G75" sqref="G75"/>
      <selection pane="bottomLeft" activeCell="G75" sqref="G75"/>
      <selection pane="bottomRight" activeCell="F132" sqref="F132"/>
    </sheetView>
  </sheetViews>
  <sheetFormatPr defaultColWidth="8.81640625" defaultRowHeight="15"/>
  <cols>
    <col min="1" max="1" width="6" style="132" customWidth="1"/>
    <col min="2" max="2" width="1.453125" style="132" customWidth="1"/>
    <col min="3" max="3" width="48.54296875" style="132" customWidth="1"/>
    <col min="4" max="4" width="34.54296875" style="132" customWidth="1"/>
    <col min="5" max="5" width="23.08984375" style="132" customWidth="1"/>
    <col min="6" max="6" width="7.81640625" style="132" customWidth="1"/>
    <col min="7" max="7" width="6.26953125" style="132" customWidth="1"/>
    <col min="8" max="8" width="14" style="132" customWidth="1"/>
    <col min="9" max="9" width="7.54296875" style="132" customWidth="1"/>
    <col min="10" max="10" width="17.81640625" style="132" bestFit="1" customWidth="1"/>
    <col min="11" max="11" width="1.08984375" style="132" customWidth="1"/>
    <col min="12" max="12" width="14.453125" style="132" bestFit="1" customWidth="1"/>
    <col min="13" max="13" width="14" style="328" bestFit="1" customWidth="1"/>
    <col min="14" max="14" width="15.7265625" style="132" customWidth="1"/>
    <col min="15" max="15" width="13.453125" style="132" bestFit="1" customWidth="1"/>
    <col min="16" max="16384" width="8.81640625" style="132"/>
  </cols>
  <sheetData>
    <row r="1" spans="1:40" ht="15.6">
      <c r="I1" s="172" t="s">
        <v>320</v>
      </c>
      <c r="J1" s="271">
        <v>44834</v>
      </c>
      <c r="M1" s="324"/>
    </row>
    <row r="2" spans="1:40" ht="15.6">
      <c r="A2" s="3"/>
      <c r="B2" s="3"/>
      <c r="C2" s="3"/>
      <c r="D2" s="87"/>
      <c r="E2" s="3"/>
      <c r="F2" s="3"/>
      <c r="G2" s="3"/>
      <c r="I2" s="173" t="s">
        <v>116</v>
      </c>
      <c r="J2" s="272">
        <v>2023</v>
      </c>
      <c r="L2" s="174"/>
      <c r="M2" s="32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74"/>
      <c r="M3" s="325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</row>
    <row r="4" spans="1:40" ht="15" customHeight="1">
      <c r="A4" s="311" t="s">
        <v>238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174"/>
      <c r="M4" s="325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ht="15.6">
      <c r="A5" s="312" t="s">
        <v>134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174"/>
      <c r="M5" s="325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</row>
    <row r="6" spans="1:40">
      <c r="A6" s="3"/>
      <c r="B6" s="3"/>
      <c r="C6" s="131"/>
      <c r="D6" s="131"/>
      <c r="F6" s="131"/>
      <c r="G6" s="131"/>
      <c r="H6" s="131"/>
      <c r="I6" s="131"/>
      <c r="J6" s="131"/>
      <c r="K6" s="131"/>
      <c r="L6" s="174"/>
      <c r="M6" s="325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40" ht="15" customHeight="1">
      <c r="A7" s="310" t="s">
        <v>237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174"/>
      <c r="M7" s="325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>
      <c r="A8" s="55"/>
      <c r="B8" s="3"/>
      <c r="C8" s="131"/>
      <c r="D8" s="131"/>
      <c r="E8" s="177"/>
      <c r="F8" s="131"/>
      <c r="G8" s="131"/>
      <c r="H8" s="131"/>
      <c r="I8" s="131"/>
      <c r="J8" s="131"/>
      <c r="K8" s="131"/>
      <c r="L8" s="174"/>
      <c r="M8" s="325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>
      <c r="A9" s="3"/>
      <c r="B9" s="3"/>
      <c r="C9" s="178" t="s">
        <v>139</v>
      </c>
      <c r="D9" s="178" t="s">
        <v>140</v>
      </c>
      <c r="E9" s="178" t="s">
        <v>141</v>
      </c>
      <c r="F9" s="1" t="s">
        <v>133</v>
      </c>
      <c r="G9" s="1"/>
      <c r="H9" s="179" t="s">
        <v>142</v>
      </c>
      <c r="I9" s="1"/>
      <c r="J9" s="180" t="s">
        <v>143</v>
      </c>
      <c r="K9" s="1"/>
      <c r="L9" s="174"/>
      <c r="M9" s="325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15.6">
      <c r="A10" s="3"/>
      <c r="B10" s="3"/>
      <c r="C10" s="170"/>
      <c r="D10" s="176" t="s">
        <v>144</v>
      </c>
      <c r="E10" s="1"/>
      <c r="F10" s="1"/>
      <c r="G10" s="181" t="s">
        <v>59</v>
      </c>
      <c r="H10" s="55"/>
      <c r="I10" s="1"/>
      <c r="J10" s="175" t="s">
        <v>145</v>
      </c>
      <c r="K10" s="1"/>
      <c r="L10" s="174"/>
      <c r="M10" s="325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</row>
    <row r="11" spans="1:40" ht="15.6">
      <c r="A11" s="55" t="s">
        <v>135</v>
      </c>
      <c r="B11" s="3"/>
      <c r="C11" s="170"/>
      <c r="D11" s="182" t="s">
        <v>146</v>
      </c>
      <c r="E11" s="175" t="s">
        <v>147</v>
      </c>
      <c r="F11" s="183"/>
      <c r="G11" s="184" t="s">
        <v>49</v>
      </c>
      <c r="H11" s="185"/>
      <c r="I11" s="183"/>
      <c r="J11" s="55" t="s">
        <v>148</v>
      </c>
      <c r="K11" s="1"/>
      <c r="L11" s="174"/>
      <c r="M11" s="325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</row>
    <row r="12" spans="1:40" ht="16.2" thickBot="1">
      <c r="A12" s="186" t="s">
        <v>136</v>
      </c>
      <c r="B12" s="3"/>
      <c r="C12" s="187" t="s">
        <v>149</v>
      </c>
      <c r="D12" s="1"/>
      <c r="E12" s="1"/>
      <c r="F12" s="1"/>
      <c r="G12" s="1"/>
      <c r="H12" s="1"/>
      <c r="I12" s="1"/>
      <c r="J12" s="1"/>
      <c r="K12" s="1"/>
      <c r="L12" s="174"/>
      <c r="M12" s="325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1:40">
      <c r="A13" s="55"/>
      <c r="B13" s="3"/>
      <c r="C13" s="170"/>
      <c r="D13" s="1"/>
      <c r="E13" s="1"/>
      <c r="F13" s="1"/>
      <c r="G13" s="1"/>
      <c r="H13" s="1"/>
      <c r="I13" s="1"/>
      <c r="J13" s="1"/>
      <c r="K13" s="1"/>
      <c r="L13" s="174"/>
      <c r="M13" s="325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</row>
    <row r="14" spans="1:40">
      <c r="A14" s="55"/>
      <c r="B14" s="3"/>
      <c r="C14" s="170" t="s">
        <v>150</v>
      </c>
      <c r="D14" s="1" t="s">
        <v>321</v>
      </c>
      <c r="E14" s="1"/>
      <c r="F14" s="1"/>
      <c r="G14" s="1"/>
      <c r="H14" s="1"/>
      <c r="I14" s="1"/>
      <c r="J14" s="1"/>
      <c r="K14" s="1"/>
      <c r="L14" s="174"/>
      <c r="M14" s="325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</row>
    <row r="15" spans="1:40">
      <c r="A15" s="55">
        <v>1</v>
      </c>
      <c r="B15" s="3"/>
      <c r="C15" s="170" t="s">
        <v>151</v>
      </c>
      <c r="D15" s="1" t="s">
        <v>39</v>
      </c>
      <c r="E15" s="254">
        <f>+'WP6 Rate Base'!Q15</f>
        <v>685363401.37</v>
      </c>
      <c r="F15" s="1"/>
      <c r="G15" s="1" t="s">
        <v>152</v>
      </c>
      <c r="H15" s="188" t="s">
        <v>133</v>
      </c>
      <c r="I15" s="1"/>
      <c r="J15" s="1" t="s">
        <v>133</v>
      </c>
      <c r="K15" s="1"/>
      <c r="L15" s="174"/>
      <c r="M15" s="325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</row>
    <row r="16" spans="1:40">
      <c r="A16" s="55">
        <v>2</v>
      </c>
      <c r="B16" s="3"/>
      <c r="C16" s="170" t="s">
        <v>153</v>
      </c>
      <c r="D16" s="1" t="s">
        <v>84</v>
      </c>
      <c r="E16" s="254">
        <f>+'WP6 Rate Base'!Q16</f>
        <v>254872602.56999999</v>
      </c>
      <c r="F16" s="1"/>
      <c r="G16" s="1" t="s">
        <v>138</v>
      </c>
      <c r="H16" s="188">
        <f>+J144</f>
        <v>0.86469700000000005</v>
      </c>
      <c r="I16" s="1"/>
      <c r="J16" s="1">
        <f>+H16*E16</f>
        <v>220387574.82447129</v>
      </c>
      <c r="K16" s="1"/>
      <c r="L16" s="174"/>
      <c r="M16" s="325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</row>
    <row r="17" spans="1:40">
      <c r="A17" s="55">
        <v>3</v>
      </c>
      <c r="B17" s="3"/>
      <c r="C17" s="170" t="s">
        <v>355</v>
      </c>
      <c r="D17" s="1" t="s">
        <v>356</v>
      </c>
      <c r="E17" s="1">
        <f>'BHP WP2 Capital Additions'!F20</f>
        <v>31787865</v>
      </c>
      <c r="F17" s="1"/>
      <c r="G17" s="1" t="s">
        <v>138</v>
      </c>
      <c r="H17" s="188">
        <f>H16</f>
        <v>0.86469700000000005</v>
      </c>
      <c r="I17" s="1"/>
      <c r="J17" s="1">
        <f>+H17*E17</f>
        <v>27486871.501905002</v>
      </c>
      <c r="K17" s="1"/>
      <c r="L17" s="174"/>
      <c r="M17" s="325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</row>
    <row r="18" spans="1:40">
      <c r="A18" s="55">
        <v>4</v>
      </c>
      <c r="B18" s="3"/>
      <c r="C18" s="170" t="s">
        <v>355</v>
      </c>
      <c r="D18" s="1" t="s">
        <v>357</v>
      </c>
      <c r="E18" s="1">
        <f>'BHP WP3 Capital Additions'!F23</f>
        <v>18642038.833333332</v>
      </c>
      <c r="F18" s="1"/>
      <c r="G18" s="1" t="s">
        <v>138</v>
      </c>
      <c r="H18" s="188">
        <f>H17</f>
        <v>0.86469700000000005</v>
      </c>
      <c r="I18" s="1"/>
      <c r="J18" s="1">
        <f>+H18*E18</f>
        <v>16119715.053066833</v>
      </c>
      <c r="K18" s="1"/>
      <c r="L18" s="174"/>
      <c r="M18" s="326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</row>
    <row r="19" spans="1:40">
      <c r="A19" s="55">
        <v>5</v>
      </c>
      <c r="B19" s="3"/>
      <c r="C19" s="170" t="s">
        <v>154</v>
      </c>
      <c r="D19" s="1" t="s">
        <v>85</v>
      </c>
      <c r="E19" s="254">
        <f>+'WP6 Rate Base'!Q17</f>
        <v>487693449.51000005</v>
      </c>
      <c r="F19" s="1"/>
      <c r="G19" s="1" t="s">
        <v>152</v>
      </c>
      <c r="H19" s="189"/>
      <c r="I19" s="1"/>
      <c r="J19" s="1"/>
      <c r="K19" s="1"/>
      <c r="L19" s="174"/>
      <c r="M19" s="326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</row>
    <row r="20" spans="1:40">
      <c r="A20" s="55">
        <v>6</v>
      </c>
      <c r="B20" s="3"/>
      <c r="C20" s="170" t="s">
        <v>155</v>
      </c>
      <c r="D20" s="1" t="s">
        <v>363</v>
      </c>
      <c r="E20" s="254">
        <f>+'WP6 Rate Base'!Q18</f>
        <v>61453596.25</v>
      </c>
      <c r="F20" s="1"/>
      <c r="G20" s="1" t="s">
        <v>156</v>
      </c>
      <c r="H20" s="188">
        <f>J176</f>
        <v>0.11585613163414071</v>
      </c>
      <c r="I20" s="1"/>
      <c r="J20" s="1">
        <f>+H20*E20</f>
        <v>7119775.936531336</v>
      </c>
      <c r="K20" s="1"/>
      <c r="L20" s="174"/>
      <c r="M20" s="326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</row>
    <row r="21" spans="1:40">
      <c r="A21" s="55">
        <v>7</v>
      </c>
      <c r="B21" s="3"/>
      <c r="C21" s="170" t="s">
        <v>101</v>
      </c>
      <c r="D21" s="1" t="s">
        <v>364</v>
      </c>
      <c r="E21" s="254">
        <f>+'WP6 Rate Base'!Q19</f>
        <v>28423892.336431999</v>
      </c>
      <c r="F21" s="1"/>
      <c r="G21" s="1" t="s">
        <v>156</v>
      </c>
      <c r="H21" s="188">
        <f>+H20</f>
        <v>0.11585613163414071</v>
      </c>
      <c r="I21" s="1"/>
      <c r="J21" s="1">
        <f>+H21*E21</f>
        <v>3293082.2120843092</v>
      </c>
      <c r="K21" s="1"/>
      <c r="L21" s="174"/>
      <c r="M21" s="326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</row>
    <row r="22" spans="1:40">
      <c r="A22" s="55">
        <v>8</v>
      </c>
      <c r="B22" s="3"/>
      <c r="C22" s="170" t="s">
        <v>68</v>
      </c>
      <c r="D22" s="1" t="s">
        <v>365</v>
      </c>
      <c r="E22" s="254">
        <f>+'WP6 Rate Base'!Q20</f>
        <v>6862228.2400000002</v>
      </c>
      <c r="F22" s="1"/>
      <c r="G22" s="1" t="s">
        <v>95</v>
      </c>
      <c r="H22" s="188">
        <f>+J181</f>
        <v>0.37102241813418352</v>
      </c>
      <c r="I22" s="1"/>
      <c r="J22" s="1">
        <f>+H22*E22</f>
        <v>2546040.5153934825</v>
      </c>
      <c r="K22" s="1"/>
      <c r="L22" s="174"/>
      <c r="M22" s="326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</row>
    <row r="23" spans="1:40" ht="15.6" thickBot="1">
      <c r="A23" s="55">
        <v>9</v>
      </c>
      <c r="B23" s="3"/>
      <c r="C23" s="170" t="s">
        <v>157</v>
      </c>
      <c r="D23" s="1" t="s">
        <v>158</v>
      </c>
      <c r="E23" s="255">
        <f>+'WP6 Rate Base'!Q21</f>
        <v>0</v>
      </c>
      <c r="F23" s="1"/>
      <c r="G23" s="1" t="s">
        <v>189</v>
      </c>
      <c r="H23" s="188">
        <v>0</v>
      </c>
      <c r="I23" s="1"/>
      <c r="J23" s="4">
        <f>+H23*E23</f>
        <v>0</v>
      </c>
      <c r="K23" s="1"/>
      <c r="L23" s="174"/>
      <c r="M23" s="326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</row>
    <row r="24" spans="1:40">
      <c r="A24" s="55">
        <v>10</v>
      </c>
      <c r="B24" s="3"/>
      <c r="C24" s="171" t="s">
        <v>5</v>
      </c>
      <c r="D24" s="1" t="str">
        <f>"(sum lines "&amp;A15&amp;" - "&amp;A23&amp;")"</f>
        <v>(sum lines 1 - 9)</v>
      </c>
      <c r="E24" s="1">
        <f>SUM(E15:E23)</f>
        <v>1575099074.1097655</v>
      </c>
      <c r="F24" s="1"/>
      <c r="G24" s="1" t="s">
        <v>159</v>
      </c>
      <c r="H24" s="190">
        <f>IF(E24&gt;0,+J24/E24,0)</f>
        <v>0.17583215214572082</v>
      </c>
      <c r="I24" s="1"/>
      <c r="J24" s="1">
        <f>SUM(J15:J23)</f>
        <v>276953060.04345226</v>
      </c>
      <c r="K24" s="1"/>
      <c r="L24" s="174"/>
      <c r="M24" s="325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</row>
    <row r="25" spans="1:40">
      <c r="A25" s="55">
        <v>11</v>
      </c>
      <c r="B25" s="3"/>
      <c r="C25" s="170"/>
      <c r="D25" s="1"/>
      <c r="E25" s="1"/>
      <c r="F25" s="1"/>
      <c r="G25" s="1"/>
      <c r="H25" s="190"/>
      <c r="I25" s="1"/>
      <c r="J25" s="1"/>
      <c r="K25" s="1"/>
      <c r="L25" s="174"/>
      <c r="M25" s="325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</row>
    <row r="26" spans="1:40">
      <c r="A26" s="55">
        <v>12</v>
      </c>
      <c r="B26" s="3"/>
      <c r="C26" s="170" t="s">
        <v>160</v>
      </c>
      <c r="D26" s="1"/>
      <c r="E26" s="1"/>
      <c r="F26" s="1"/>
      <c r="G26" s="1"/>
      <c r="H26" s="1"/>
      <c r="I26" s="1"/>
      <c r="J26" s="1"/>
      <c r="K26" s="1"/>
      <c r="L26" s="174"/>
      <c r="M26" s="325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</row>
    <row r="27" spans="1:40">
      <c r="A27" s="55">
        <v>13</v>
      </c>
      <c r="B27" s="3"/>
      <c r="C27" s="170" t="str">
        <f>+C15</f>
        <v xml:space="preserve">  Production</v>
      </c>
      <c r="D27" s="1" t="s">
        <v>314</v>
      </c>
      <c r="E27" s="254">
        <f>+'WP6 Rate Base'!Q25</f>
        <v>226175486.68207696</v>
      </c>
      <c r="F27" s="1"/>
      <c r="G27" s="1" t="str">
        <f>+G15</f>
        <v>NA</v>
      </c>
      <c r="H27" s="188" t="str">
        <f>+H15</f>
        <v xml:space="preserve"> </v>
      </c>
      <c r="I27" s="1"/>
      <c r="J27" s="1" t="s">
        <v>133</v>
      </c>
      <c r="K27" s="1"/>
      <c r="L27" s="174"/>
      <c r="M27" s="325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</row>
    <row r="28" spans="1:40">
      <c r="A28" s="55">
        <v>14</v>
      </c>
      <c r="B28" s="3"/>
      <c r="C28" s="170" t="s">
        <v>153</v>
      </c>
      <c r="D28" s="1" t="s">
        <v>86</v>
      </c>
      <c r="E28" s="254">
        <f>+'WP6 Rate Base'!Q26</f>
        <v>48399379.671016805</v>
      </c>
      <c r="F28" s="1"/>
      <c r="G28" s="1" t="s">
        <v>46</v>
      </c>
      <c r="H28" s="188">
        <f>+J162</f>
        <v>0.85283600000000004</v>
      </c>
      <c r="I28" s="1"/>
      <c r="J28" s="1">
        <f>+H28*E28</f>
        <v>41276733.361111291</v>
      </c>
      <c r="K28" s="1"/>
      <c r="L28" s="174"/>
      <c r="M28" s="325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</row>
    <row r="29" spans="1:40">
      <c r="A29" s="55">
        <v>15</v>
      </c>
      <c r="B29" s="3"/>
      <c r="C29" s="170" t="s">
        <v>358</v>
      </c>
      <c r="D29" s="1" t="str">
        <f>"See Workpaper 2 (line 48)"</f>
        <v>See Workpaper 2 (line 48)</v>
      </c>
      <c r="E29" s="1">
        <f>'BHP WP2 Capital Additions'!F57</f>
        <v>10042198.461935999</v>
      </c>
      <c r="F29" s="1"/>
      <c r="G29" s="1" t="s">
        <v>46</v>
      </c>
      <c r="H29" s="188">
        <f>H28</f>
        <v>0.85283600000000004</v>
      </c>
      <c r="I29" s="1"/>
      <c r="J29" s="1">
        <f>+H29*E29</f>
        <v>8564348.3674836494</v>
      </c>
      <c r="K29" s="1"/>
      <c r="L29" s="174"/>
      <c r="M29" s="326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</row>
    <row r="30" spans="1:40">
      <c r="A30" s="55">
        <v>16</v>
      </c>
      <c r="B30" s="3"/>
      <c r="C30" s="170" t="s">
        <v>154</v>
      </c>
      <c r="D30" s="1" t="s">
        <v>87</v>
      </c>
      <c r="E30" s="254">
        <f>+'WP6 Rate Base'!Q27</f>
        <v>159225519.84756005</v>
      </c>
      <c r="F30" s="1"/>
      <c r="G30" s="1" t="s">
        <v>152</v>
      </c>
      <c r="H30" s="188"/>
      <c r="I30" s="1"/>
      <c r="J30" s="1"/>
      <c r="K30" s="1"/>
      <c r="L30" s="174"/>
      <c r="M30" s="325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</row>
    <row r="31" spans="1:40">
      <c r="A31" s="55">
        <v>17</v>
      </c>
      <c r="B31" s="3"/>
      <c r="C31" s="170" t="str">
        <f>+C20</f>
        <v xml:space="preserve">  General &amp; Intangible</v>
      </c>
      <c r="D31" s="1" t="s">
        <v>366</v>
      </c>
      <c r="E31" s="254">
        <f>+'WP6 Rate Base'!Q28</f>
        <v>27243496.280582614</v>
      </c>
      <c r="F31" s="1"/>
      <c r="G31" s="1" t="str">
        <f>+G20</f>
        <v>W/S</v>
      </c>
      <c r="H31" s="188">
        <f>+H20</f>
        <v>0.11585613163414071</v>
      </c>
      <c r="I31" s="1"/>
      <c r="J31" s="1">
        <f>+H31*E31</f>
        <v>3156326.0912574022</v>
      </c>
      <c r="K31" s="1"/>
      <c r="L31" s="174"/>
      <c r="M31" s="326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</row>
    <row r="32" spans="1:40">
      <c r="A32" s="55">
        <v>18</v>
      </c>
      <c r="B32" s="3"/>
      <c r="C32" s="170" t="s">
        <v>101</v>
      </c>
      <c r="D32" s="1" t="s">
        <v>367</v>
      </c>
      <c r="E32" s="254">
        <f>+'WP6 Rate Base'!Q29</f>
        <v>4090055.7169254255</v>
      </c>
      <c r="F32" s="1"/>
      <c r="G32" s="1" t="str">
        <f>+G21</f>
        <v>W/S</v>
      </c>
      <c r="H32" s="188">
        <f>+H31</f>
        <v>0.11585613163414071</v>
      </c>
      <c r="I32" s="1"/>
      <c r="J32" s="1">
        <f>+H32*E32</f>
        <v>473858.03353108186</v>
      </c>
      <c r="K32" s="1"/>
      <c r="L32" s="174"/>
      <c r="M32" s="326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</row>
    <row r="33" spans="1:40">
      <c r="A33" s="55">
        <v>19</v>
      </c>
      <c r="B33" s="3"/>
      <c r="C33" s="170" t="str">
        <f>+C22</f>
        <v xml:space="preserve">  Communication System</v>
      </c>
      <c r="D33" s="1" t="s">
        <v>368</v>
      </c>
      <c r="E33" s="254">
        <f>+'WP6 Rate Base'!Q30</f>
        <v>4419430.1150747519</v>
      </c>
      <c r="F33" s="1"/>
      <c r="G33" s="1" t="str">
        <f>+G22</f>
        <v>T&amp;D</v>
      </c>
      <c r="H33" s="188">
        <f>+H22</f>
        <v>0.37102241813418352</v>
      </c>
      <c r="I33" s="1"/>
      <c r="J33" s="1">
        <f>+H33*E33</f>
        <v>1639707.6480700674</v>
      </c>
      <c r="K33" s="1"/>
      <c r="L33" s="174"/>
      <c r="M33" s="326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</row>
    <row r="34" spans="1:40" ht="15.6" thickBot="1">
      <c r="A34" s="55">
        <v>20</v>
      </c>
      <c r="B34" s="3"/>
      <c r="C34" s="170" t="str">
        <f>+C23</f>
        <v xml:space="preserve">  Common</v>
      </c>
      <c r="D34" s="1" t="s">
        <v>158</v>
      </c>
      <c r="E34" s="255">
        <f>+'WP6 Rate Base'!R31</f>
        <v>0</v>
      </c>
      <c r="F34" s="1"/>
      <c r="G34" s="1" t="str">
        <f>+G23</f>
        <v>CE</v>
      </c>
      <c r="H34" s="188">
        <f>+H23</f>
        <v>0</v>
      </c>
      <c r="I34" s="1"/>
      <c r="J34" s="4">
        <f>+H34*E34</f>
        <v>0</v>
      </c>
      <c r="K34" s="1"/>
      <c r="L34" s="174"/>
      <c r="M34" s="325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</row>
    <row r="35" spans="1:40">
      <c r="A35" s="55">
        <v>21</v>
      </c>
      <c r="B35" s="3"/>
      <c r="C35" s="170" t="s">
        <v>7</v>
      </c>
      <c r="D35" s="1" t="str">
        <f>"(sum lines "&amp;A27&amp;" - "&amp;A34&amp;")"</f>
        <v>(sum lines 13 - 20)</v>
      </c>
      <c r="E35" s="1">
        <f>SUM(E27:E34)</f>
        <v>479595566.77517259</v>
      </c>
      <c r="F35" s="1"/>
      <c r="G35" s="1"/>
      <c r="H35" s="1"/>
      <c r="I35" s="1"/>
      <c r="J35" s="1">
        <f>SUM(J27:J34)</f>
        <v>55110973.501453497</v>
      </c>
      <c r="K35" s="1"/>
      <c r="L35" s="174"/>
      <c r="M35" s="325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</row>
    <row r="36" spans="1:40">
      <c r="A36" s="55">
        <v>22</v>
      </c>
      <c r="B36" s="3"/>
      <c r="C36" s="3"/>
      <c r="D36" s="1" t="s">
        <v>133</v>
      </c>
      <c r="E36" s="3"/>
      <c r="F36" s="1"/>
      <c r="G36" s="1"/>
      <c r="H36" s="190"/>
      <c r="I36" s="1"/>
      <c r="J36" s="3"/>
      <c r="K36" s="1"/>
      <c r="L36" s="174"/>
      <c r="M36" s="325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</row>
    <row r="37" spans="1:40">
      <c r="A37" s="55">
        <v>23</v>
      </c>
      <c r="B37" s="3"/>
      <c r="C37" s="170" t="s">
        <v>161</v>
      </c>
      <c r="D37" s="1"/>
      <c r="E37" s="1"/>
      <c r="F37" s="1"/>
      <c r="G37" s="1"/>
      <c r="H37" s="1"/>
      <c r="I37" s="1"/>
      <c r="J37" s="1"/>
      <c r="K37" s="1"/>
      <c r="L37" s="174"/>
      <c r="M37" s="325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</row>
    <row r="38" spans="1:40">
      <c r="A38" s="55">
        <v>24</v>
      </c>
      <c r="B38" s="3"/>
      <c r="C38" s="170" t="str">
        <f>+C27</f>
        <v xml:space="preserve">  Production</v>
      </c>
      <c r="D38" s="1" t="str">
        <f>"(line "&amp;A15&amp;" - line "&amp;A27&amp;")"</f>
        <v>(line 1 - line 13)</v>
      </c>
      <c r="E38" s="1">
        <f>E15-E27</f>
        <v>459187914.68792307</v>
      </c>
      <c r="F38" s="1"/>
      <c r="G38" s="1" t="s">
        <v>57</v>
      </c>
      <c r="H38" s="190"/>
      <c r="I38" s="1"/>
      <c r="J38" s="1" t="s">
        <v>133</v>
      </c>
      <c r="K38" s="1"/>
      <c r="L38" s="174"/>
      <c r="M38" s="325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</row>
    <row r="39" spans="1:40">
      <c r="A39" s="55">
        <v>25</v>
      </c>
      <c r="B39" s="3"/>
      <c r="C39" s="170" t="s">
        <v>153</v>
      </c>
      <c r="D39" s="1" t="str">
        <f>"(line "&amp;A16&amp;" - line "&amp;A28&amp;")"</f>
        <v>(line 2 - line 14)</v>
      </c>
      <c r="E39" s="1">
        <f>E16-E28</f>
        <v>206473222.89898318</v>
      </c>
      <c r="F39" s="1"/>
      <c r="G39" s="1" t="s">
        <v>57</v>
      </c>
      <c r="H39" s="188"/>
      <c r="I39" s="1"/>
      <c r="J39" s="1">
        <f>J16-J28</f>
        <v>179110841.46336001</v>
      </c>
      <c r="K39" s="1"/>
      <c r="L39" s="174"/>
      <c r="M39" s="325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</row>
    <row r="40" spans="1:40">
      <c r="A40" s="55">
        <v>26</v>
      </c>
      <c r="B40" s="3"/>
      <c r="C40" s="170" t="str">
        <f>+C17</f>
        <v xml:space="preserve">  New Construction CUS Assets</v>
      </c>
      <c r="D40" s="1" t="str">
        <f>"(line "&amp;A17&amp;" - line "&amp;A29&amp;")"</f>
        <v>(line 3 - line 15)</v>
      </c>
      <c r="E40" s="1">
        <f>E17-E29</f>
        <v>21745666.538064003</v>
      </c>
      <c r="F40" s="1"/>
      <c r="G40" s="1" t="s">
        <v>57</v>
      </c>
      <c r="H40" s="188"/>
      <c r="I40" s="1"/>
      <c r="J40" s="1">
        <f>J17-J29</f>
        <v>18922523.134421352</v>
      </c>
      <c r="K40" s="1"/>
      <c r="L40" s="174"/>
      <c r="M40" s="325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</row>
    <row r="41" spans="1:40">
      <c r="A41" s="55">
        <v>27</v>
      </c>
      <c r="B41" s="3"/>
      <c r="C41" s="170" t="s">
        <v>355</v>
      </c>
      <c r="D41" s="1" t="s">
        <v>354</v>
      </c>
      <c r="E41" s="1">
        <f>E18</f>
        <v>18642038.833333332</v>
      </c>
      <c r="F41" s="1"/>
      <c r="G41" s="1" t="s">
        <v>57</v>
      </c>
      <c r="H41" s="188"/>
      <c r="I41" s="1"/>
      <c r="J41" s="1">
        <f>J18</f>
        <v>16119715.053066833</v>
      </c>
      <c r="K41" s="1"/>
      <c r="L41" s="174"/>
      <c r="M41" s="325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</row>
    <row r="42" spans="1:40">
      <c r="A42" s="55">
        <v>28</v>
      </c>
      <c r="B42" s="3"/>
      <c r="C42" s="170" t="s">
        <v>234</v>
      </c>
      <c r="D42" s="1" t="str">
        <f>"(line "&amp;A19&amp;" - line "&amp;A30&amp;")"</f>
        <v>(line 5 - line 16)</v>
      </c>
      <c r="E42" s="1">
        <f t="shared" ref="E42:E47" si="0">E19-E30</f>
        <v>328467929.66244</v>
      </c>
      <c r="F42" s="1"/>
      <c r="G42" s="1" t="s">
        <v>57</v>
      </c>
      <c r="H42" s="190"/>
      <c r="I42" s="1"/>
      <c r="J42" s="1"/>
      <c r="K42" s="1"/>
      <c r="L42" s="174"/>
      <c r="M42" s="325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</row>
    <row r="43" spans="1:40">
      <c r="A43" s="55">
        <v>29</v>
      </c>
      <c r="B43" s="3"/>
      <c r="C43" s="170" t="str">
        <f>+C31</f>
        <v xml:space="preserve">  General &amp; Intangible</v>
      </c>
      <c r="D43" s="1" t="str">
        <f>"(line "&amp;A20&amp;" - line "&amp;A31&amp;")"</f>
        <v>(line 6 - line 17)</v>
      </c>
      <c r="E43" s="1">
        <f t="shared" si="0"/>
        <v>34210099.969417386</v>
      </c>
      <c r="F43" s="1"/>
      <c r="G43" s="1" t="s">
        <v>57</v>
      </c>
      <c r="H43" s="190"/>
      <c r="I43" s="1"/>
      <c r="J43" s="1">
        <f>J20-J31</f>
        <v>3963449.8452739338</v>
      </c>
      <c r="K43" s="1"/>
      <c r="L43" s="174"/>
      <c r="M43" s="325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</row>
    <row r="44" spans="1:40">
      <c r="A44" s="55">
        <v>30</v>
      </c>
      <c r="B44" s="3"/>
      <c r="C44" s="170" t="s">
        <v>101</v>
      </c>
      <c r="D44" s="1" t="str">
        <f>"(line "&amp;A21&amp;" - line "&amp;A32&amp;")"</f>
        <v>(line 7 - line 18)</v>
      </c>
      <c r="E44" s="1">
        <f t="shared" si="0"/>
        <v>24333836.619506575</v>
      </c>
      <c r="F44" s="1"/>
      <c r="G44" s="1" t="s">
        <v>57</v>
      </c>
      <c r="H44" s="190"/>
      <c r="I44" s="1"/>
      <c r="J44" s="1">
        <f>J21-J32</f>
        <v>2819224.1785532273</v>
      </c>
      <c r="K44" s="1"/>
      <c r="L44" s="174"/>
      <c r="M44" s="325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</row>
    <row r="45" spans="1:40">
      <c r="A45" s="55">
        <v>31</v>
      </c>
      <c r="B45" s="3"/>
      <c r="C45" s="170" t="str">
        <f>+C33</f>
        <v xml:space="preserve">  Communication System</v>
      </c>
      <c r="D45" s="1" t="str">
        <f>"(line "&amp;A22&amp;" - line "&amp;A33&amp;")"</f>
        <v>(line 8 - line 19)</v>
      </c>
      <c r="E45" s="1">
        <f t="shared" si="0"/>
        <v>2442798.1249252483</v>
      </c>
      <c r="F45" s="1"/>
      <c r="G45" s="1" t="s">
        <v>57</v>
      </c>
      <c r="H45" s="190"/>
      <c r="I45" s="1"/>
      <c r="J45" s="1">
        <f>J22-J33</f>
        <v>906332.86732341512</v>
      </c>
      <c r="K45" s="1"/>
      <c r="L45" s="174"/>
      <c r="M45" s="325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</row>
    <row r="46" spans="1:40" ht="15.6" thickBot="1">
      <c r="A46" s="55">
        <v>32</v>
      </c>
      <c r="B46" s="3"/>
      <c r="C46" s="170" t="str">
        <f>+C34</f>
        <v xml:space="preserve">  Common</v>
      </c>
      <c r="D46" s="1" t="str">
        <f>"(line "&amp;A23&amp;" - line "&amp;A34&amp;")"</f>
        <v>(line 9 - line 20)</v>
      </c>
      <c r="E46" s="4">
        <f t="shared" si="0"/>
        <v>0</v>
      </c>
      <c r="F46" s="1"/>
      <c r="G46" s="1" t="s">
        <v>57</v>
      </c>
      <c r="H46" s="190"/>
      <c r="I46" s="1"/>
      <c r="J46" s="4">
        <f>J23-J34</f>
        <v>0</v>
      </c>
      <c r="K46" s="1"/>
      <c r="L46" s="174"/>
      <c r="M46" s="325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</row>
    <row r="47" spans="1:40">
      <c r="A47" s="55">
        <v>33</v>
      </c>
      <c r="B47" s="3"/>
      <c r="C47" s="170" t="s">
        <v>6</v>
      </c>
      <c r="D47" s="1" t="str">
        <f>"(sum lines "&amp;A38&amp;" - "&amp;A46&amp;")"</f>
        <v>(sum lines 24 - 32)</v>
      </c>
      <c r="E47" s="1">
        <f t="shared" si="0"/>
        <v>1095503507.3345928</v>
      </c>
      <c r="F47" s="1"/>
      <c r="G47" s="1" t="s">
        <v>162</v>
      </c>
      <c r="H47" s="190">
        <f>IF(E47&gt;0,+J47/E47,0)</f>
        <v>0.20250239735128747</v>
      </c>
      <c r="I47" s="1"/>
      <c r="J47" s="1">
        <f>SUM(J38:J46)</f>
        <v>221842086.54199877</v>
      </c>
      <c r="K47" s="1"/>
      <c r="L47" s="174"/>
      <c r="M47" s="325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</row>
    <row r="48" spans="1:40">
      <c r="A48" s="55">
        <v>34</v>
      </c>
      <c r="B48" s="3"/>
      <c r="C48" s="3"/>
      <c r="D48" s="1"/>
      <c r="E48" s="65"/>
      <c r="F48" s="1"/>
      <c r="G48" s="3"/>
      <c r="H48" s="3"/>
      <c r="I48" s="1"/>
      <c r="J48" s="3"/>
      <c r="K48" s="1"/>
      <c r="L48" s="174"/>
      <c r="M48" s="325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</row>
    <row r="49" spans="1:40">
      <c r="A49" s="55">
        <v>35</v>
      </c>
      <c r="B49" s="3"/>
      <c r="C49" s="171" t="s">
        <v>28</v>
      </c>
      <c r="D49" s="1" t="s">
        <v>369</v>
      </c>
      <c r="E49" s="1"/>
      <c r="F49" s="1"/>
      <c r="G49" s="1"/>
      <c r="H49" s="1"/>
      <c r="I49" s="1"/>
      <c r="J49" s="1"/>
      <c r="K49" s="1"/>
      <c r="L49" s="174"/>
      <c r="M49" s="325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</row>
    <row r="50" spans="1:40">
      <c r="A50" s="55">
        <v>36</v>
      </c>
      <c r="B50" s="3"/>
      <c r="C50" s="170" t="s">
        <v>207</v>
      </c>
      <c r="D50" s="1" t="s">
        <v>163</v>
      </c>
      <c r="E50" s="256">
        <f>+'WP6 Rate Base'!F50</f>
        <v>0</v>
      </c>
      <c r="F50" s="1"/>
      <c r="G50" s="1" t="str">
        <f>+G27</f>
        <v>NA</v>
      </c>
      <c r="H50" s="191" t="s">
        <v>228</v>
      </c>
      <c r="I50" s="1"/>
      <c r="J50" s="65">
        <v>0</v>
      </c>
      <c r="K50" s="1"/>
      <c r="L50" s="174"/>
      <c r="M50" s="325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</row>
    <row r="51" spans="1:40">
      <c r="A51" s="55">
        <v>37</v>
      </c>
      <c r="B51" s="3"/>
      <c r="C51" s="170" t="s">
        <v>208</v>
      </c>
      <c r="D51" s="1" t="s">
        <v>165</v>
      </c>
      <c r="E51" s="256">
        <f>+'WP6 Rate Base'!F51</f>
        <v>-139177648.637586</v>
      </c>
      <c r="F51" s="1"/>
      <c r="G51" s="1" t="s">
        <v>164</v>
      </c>
      <c r="H51" s="188">
        <f>+H47</f>
        <v>0.20250239735128747</v>
      </c>
      <c r="I51" s="1"/>
      <c r="J51" s="256">
        <v>-30055053.506826311</v>
      </c>
      <c r="K51" s="1"/>
      <c r="L51" s="275"/>
      <c r="M51" s="325"/>
      <c r="N51" s="200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</row>
    <row r="52" spans="1:40">
      <c r="A52" s="55">
        <v>38</v>
      </c>
      <c r="B52" s="3"/>
      <c r="C52" s="170" t="s">
        <v>209</v>
      </c>
      <c r="D52" s="1" t="s">
        <v>166</v>
      </c>
      <c r="E52" s="256">
        <f>+'WP6 Rate Base'!F52</f>
        <v>-18955496</v>
      </c>
      <c r="F52" s="1"/>
      <c r="G52" s="1" t="str">
        <f>+G51</f>
        <v>NP</v>
      </c>
      <c r="H52" s="188">
        <f>H47</f>
        <v>0.20250239735128747</v>
      </c>
      <c r="I52" s="1"/>
      <c r="J52" s="65">
        <f>E52*H52</f>
        <v>-3838533.3829827402</v>
      </c>
      <c r="K52" s="1"/>
      <c r="L52" s="174"/>
      <c r="M52" s="325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</row>
    <row r="53" spans="1:40">
      <c r="A53" s="55">
        <v>39</v>
      </c>
      <c r="B53" s="3"/>
      <c r="C53" s="170" t="s">
        <v>211</v>
      </c>
      <c r="D53" s="1" t="s">
        <v>167</v>
      </c>
      <c r="E53" s="256">
        <f>+'WP6 Rate Base'!F53</f>
        <v>37495191</v>
      </c>
      <c r="F53" s="1"/>
      <c r="G53" s="1" t="str">
        <f>+G52</f>
        <v>NP</v>
      </c>
      <c r="H53" s="188">
        <f>+H52</f>
        <v>0.20250239735128747</v>
      </c>
      <c r="I53" s="1"/>
      <c r="J53" s="65">
        <f>E53*H53</f>
        <v>7592866.0666444181</v>
      </c>
      <c r="K53" s="1"/>
      <c r="L53" s="174"/>
      <c r="M53" s="325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</row>
    <row r="54" spans="1:40">
      <c r="A54" s="55">
        <v>40</v>
      </c>
      <c r="B54" s="3"/>
      <c r="C54" s="3" t="s">
        <v>210</v>
      </c>
      <c r="D54" s="3" t="s">
        <v>88</v>
      </c>
      <c r="E54" s="256">
        <f>+'WP6 Rate Base'!F54</f>
        <v>0</v>
      </c>
      <c r="F54" s="1"/>
      <c r="G54" s="1" t="str">
        <f>+G53</f>
        <v>NP</v>
      </c>
      <c r="H54" s="188">
        <f>+H52</f>
        <v>0.20250239735128747</v>
      </c>
      <c r="I54" s="1"/>
      <c r="J54" s="86">
        <f>E54*H54</f>
        <v>0</v>
      </c>
      <c r="K54" s="1"/>
      <c r="L54" s="174"/>
      <c r="M54" s="325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</row>
    <row r="55" spans="1:40" ht="15.6" thickBot="1">
      <c r="A55" s="55">
        <v>41</v>
      </c>
      <c r="B55" s="3"/>
      <c r="C55" s="170" t="s">
        <v>230</v>
      </c>
      <c r="D55" s="3" t="s">
        <v>381</v>
      </c>
      <c r="E55" s="257">
        <f>+'WP6 Rate Base'!F55</f>
        <v>-93343907.373960704</v>
      </c>
      <c r="F55" s="1"/>
      <c r="G55" s="1" t="str">
        <f>+G54</f>
        <v>NP</v>
      </c>
      <c r="H55" s="188">
        <f>+H54</f>
        <v>0.20250239735128747</v>
      </c>
      <c r="I55" s="1"/>
      <c r="J55" s="232">
        <f>+H55*E55</f>
        <v>-18902365.021363564</v>
      </c>
      <c r="K55" s="1"/>
      <c r="L55" s="174"/>
      <c r="M55" s="325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</row>
    <row r="56" spans="1:40">
      <c r="A56" s="55">
        <v>42</v>
      </c>
      <c r="B56" s="3"/>
      <c r="C56" s="170" t="s">
        <v>8</v>
      </c>
      <c r="D56" s="1" t="str">
        <f>"(sum lines "&amp;A50&amp;" - "&amp;A55&amp;")"</f>
        <v>(sum lines 36 - 41)</v>
      </c>
      <c r="E56" s="65"/>
      <c r="F56" s="1"/>
      <c r="G56" s="1"/>
      <c r="H56" s="1"/>
      <c r="I56" s="1"/>
      <c r="J56" s="65">
        <f>SUM(J50:J55)</f>
        <v>-45203085.844528198</v>
      </c>
      <c r="K56" s="1"/>
      <c r="L56" s="174"/>
      <c r="M56" s="325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</row>
    <row r="57" spans="1:40">
      <c r="A57" s="55">
        <v>43</v>
      </c>
      <c r="B57" s="3"/>
      <c r="C57" s="3"/>
      <c r="D57" s="1"/>
      <c r="E57" s="3"/>
      <c r="F57" s="1"/>
      <c r="G57" s="1"/>
      <c r="H57" s="190"/>
      <c r="I57" s="1"/>
      <c r="J57" s="3"/>
      <c r="K57" s="1"/>
      <c r="L57" s="174"/>
      <c r="M57" s="325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</row>
    <row r="58" spans="1:40">
      <c r="A58" s="55">
        <v>44</v>
      </c>
      <c r="B58" s="3"/>
      <c r="C58" s="171" t="s">
        <v>168</v>
      </c>
      <c r="D58" s="1" t="s">
        <v>370</v>
      </c>
      <c r="E58" s="256">
        <v>0</v>
      </c>
      <c r="F58" s="1"/>
      <c r="G58" s="1" t="s">
        <v>300</v>
      </c>
      <c r="H58" s="188">
        <v>0</v>
      </c>
      <c r="I58" s="1"/>
      <c r="J58" s="1">
        <f>+H58*E58</f>
        <v>0</v>
      </c>
      <c r="K58" s="1"/>
      <c r="L58" s="174"/>
      <c r="M58" s="325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</row>
    <row r="59" spans="1:40">
      <c r="A59" s="55">
        <v>45</v>
      </c>
      <c r="B59" s="3"/>
      <c r="C59" s="170"/>
      <c r="D59" s="1"/>
      <c r="E59" s="1"/>
      <c r="F59" s="1"/>
      <c r="G59" s="1"/>
      <c r="H59" s="1"/>
      <c r="I59" s="1"/>
      <c r="J59" s="1"/>
      <c r="K59" s="1"/>
      <c r="L59" s="174"/>
      <c r="M59" s="325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</row>
    <row r="60" spans="1:40">
      <c r="A60" s="55">
        <v>46</v>
      </c>
      <c r="B60" s="3"/>
      <c r="C60" s="170" t="s">
        <v>235</v>
      </c>
      <c r="D60" s="1" t="s">
        <v>133</v>
      </c>
      <c r="E60" s="1"/>
      <c r="F60" s="1"/>
      <c r="G60" s="1"/>
      <c r="H60" s="1"/>
      <c r="I60" s="1"/>
      <c r="J60" s="1"/>
      <c r="K60" s="1"/>
      <c r="L60" s="174"/>
      <c r="M60" s="325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</row>
    <row r="61" spans="1:40">
      <c r="A61" s="55">
        <v>47</v>
      </c>
      <c r="B61" s="3"/>
      <c r="C61" s="170" t="s">
        <v>227</v>
      </c>
      <c r="D61" s="3" t="str">
        <f>"(1/8 * line "&amp;A90&amp;")"</f>
        <v>(1/8 * line 63)</v>
      </c>
      <c r="E61" s="1">
        <f>+E90/8</f>
        <v>4026969.2475000001</v>
      </c>
      <c r="F61" s="1"/>
      <c r="G61" s="1" t="s">
        <v>57</v>
      </c>
      <c r="H61" s="190"/>
      <c r="I61" s="1"/>
      <c r="J61" s="1">
        <f>+J90/8</f>
        <v>667870.25864046591</v>
      </c>
      <c r="K61" s="131"/>
      <c r="L61" s="174"/>
      <c r="M61" s="325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</row>
    <row r="62" spans="1:40">
      <c r="A62" s="55">
        <v>48</v>
      </c>
      <c r="B62" s="3"/>
      <c r="C62" s="170" t="s">
        <v>271</v>
      </c>
      <c r="D62" s="1" t="s">
        <v>98</v>
      </c>
      <c r="E62" s="254">
        <f>+'WP6 Rate Base'!F62</f>
        <v>6594612</v>
      </c>
      <c r="F62" s="1"/>
      <c r="G62" s="1" t="s">
        <v>95</v>
      </c>
      <c r="H62" s="188">
        <f>+J181</f>
        <v>0.37102241813418352</v>
      </c>
      <c r="I62" s="1"/>
      <c r="J62" s="1">
        <f>+H62*E62</f>
        <v>2446748.890896704</v>
      </c>
      <c r="K62" s="1" t="s">
        <v>133</v>
      </c>
      <c r="L62" s="174"/>
      <c r="M62" s="325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</row>
    <row r="63" spans="1:40">
      <c r="A63" s="55">
        <v>49</v>
      </c>
      <c r="B63" s="3"/>
      <c r="C63" s="170" t="s">
        <v>271</v>
      </c>
      <c r="D63" s="1" t="s">
        <v>97</v>
      </c>
      <c r="E63" s="254">
        <f>+'WP6 Rate Base'!F63</f>
        <v>21348.083873841406</v>
      </c>
      <c r="F63" s="1"/>
      <c r="G63" s="1" t="s">
        <v>138</v>
      </c>
      <c r="H63" s="188">
        <f>+J144</f>
        <v>0.86469700000000005</v>
      </c>
      <c r="I63" s="1"/>
      <c r="J63" s="1">
        <f>+H63*E63</f>
        <v>18459.624081459042</v>
      </c>
      <c r="K63" s="1"/>
      <c r="L63" s="174"/>
      <c r="M63" s="325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</row>
    <row r="64" spans="1:40" ht="15.6" thickBot="1">
      <c r="A64" s="55">
        <v>50</v>
      </c>
      <c r="B64" s="3"/>
      <c r="C64" s="170" t="s">
        <v>212</v>
      </c>
      <c r="D64" s="1" t="s">
        <v>40</v>
      </c>
      <c r="E64" s="258">
        <f>+'WP6 Rate Base'!F64</f>
        <v>4525712</v>
      </c>
      <c r="F64" s="1"/>
      <c r="G64" s="1" t="s">
        <v>169</v>
      </c>
      <c r="H64" s="188">
        <f>+H24</f>
        <v>0.17583215214572082</v>
      </c>
      <c r="I64" s="1"/>
      <c r="J64" s="4">
        <f>+H64*E64</f>
        <v>795765.6809517144</v>
      </c>
      <c r="K64" s="1"/>
      <c r="L64" s="174"/>
      <c r="M64" s="325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</row>
    <row r="65" spans="1:40">
      <c r="A65" s="55">
        <v>51</v>
      </c>
      <c r="B65" s="3"/>
      <c r="C65" s="170" t="s">
        <v>9</v>
      </c>
      <c r="D65" s="1" t="str">
        <f>"(sum lines "&amp;A61&amp;" - "&amp;A64&amp;")"</f>
        <v>(sum lines 47 - 50)</v>
      </c>
      <c r="E65" s="1">
        <f>SUM(E61:E64)</f>
        <v>15168641.331373842</v>
      </c>
      <c r="F65" s="131"/>
      <c r="G65" s="131"/>
      <c r="H65" s="131"/>
      <c r="I65" s="131"/>
      <c r="J65" s="1">
        <f>SUM(J61:J64)</f>
        <v>3928844.4545703433</v>
      </c>
      <c r="K65" s="131"/>
      <c r="L65" s="174"/>
      <c r="M65" s="325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</row>
    <row r="66" spans="1:40" ht="15.6" thickBot="1">
      <c r="A66" s="55">
        <v>52</v>
      </c>
      <c r="B66" s="3"/>
      <c r="C66" s="3"/>
      <c r="D66" s="1"/>
      <c r="E66" s="193"/>
      <c r="F66" s="1"/>
      <c r="G66" s="1"/>
      <c r="H66" s="1"/>
      <c r="I66" s="1"/>
      <c r="J66" s="194"/>
      <c r="K66" s="1"/>
      <c r="L66" s="174"/>
      <c r="M66" s="325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</row>
    <row r="67" spans="1:40" ht="15.6" thickBot="1">
      <c r="A67" s="55">
        <v>53</v>
      </c>
      <c r="B67" s="3"/>
      <c r="C67" s="170" t="s">
        <v>10</v>
      </c>
      <c r="D67" s="1" t="str">
        <f>"(sum lines "&amp;A47&amp;", "&amp;A56&amp;", "&amp;A58&amp;", &amp; "&amp;A65&amp;")"</f>
        <v>(sum lines 33, 42, 44, &amp; 51)</v>
      </c>
      <c r="E67" s="195"/>
      <c r="F67" s="1"/>
      <c r="G67" s="1"/>
      <c r="H67" s="190"/>
      <c r="I67" s="1"/>
      <c r="J67" s="233">
        <f>+J65+J58+J56+J47</f>
        <v>180567845.15204093</v>
      </c>
      <c r="K67" s="1"/>
      <c r="L67" s="174"/>
      <c r="M67" s="325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</row>
    <row r="68" spans="1:40" ht="15.6" thickTop="1">
      <c r="A68" s="55"/>
      <c r="B68" s="3"/>
      <c r="C68" s="170"/>
      <c r="D68" s="1"/>
      <c r="E68" s="195"/>
      <c r="F68" s="1"/>
      <c r="G68" s="1"/>
      <c r="H68" s="190"/>
      <c r="I68" s="173" t="s">
        <v>320</v>
      </c>
      <c r="J68" s="196">
        <f>J1</f>
        <v>44834</v>
      </c>
      <c r="K68" s="1"/>
      <c r="L68" s="174"/>
      <c r="M68" s="325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</row>
    <row r="69" spans="1:40">
      <c r="A69" s="55"/>
      <c r="B69" s="3"/>
      <c r="C69" s="170"/>
      <c r="D69" s="1"/>
      <c r="E69" s="1"/>
      <c r="F69" s="1"/>
      <c r="G69" s="1"/>
      <c r="I69" s="173" t="str">
        <f>$I$2</f>
        <v>Service Year</v>
      </c>
      <c r="J69" s="131">
        <f>$J$2</f>
        <v>2023</v>
      </c>
      <c r="L69" s="174"/>
      <c r="M69" s="325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</row>
    <row r="70" spans="1:40">
      <c r="A70" s="55"/>
      <c r="B70" s="3"/>
      <c r="C70" s="170"/>
      <c r="D70" s="1"/>
      <c r="E70" s="1"/>
      <c r="F70" s="1"/>
      <c r="G70" s="1"/>
      <c r="H70" s="1"/>
      <c r="I70" s="1"/>
      <c r="J70" s="1"/>
      <c r="K70" s="1"/>
      <c r="L70" s="174"/>
      <c r="M70" s="325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</row>
    <row r="71" spans="1:40" ht="15.6">
      <c r="A71" s="311" t="s">
        <v>238</v>
      </c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174"/>
      <c r="M71" s="325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</row>
    <row r="72" spans="1:40" ht="15.6">
      <c r="A72" s="312" t="s">
        <v>134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174"/>
      <c r="M72" s="325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</row>
    <row r="73" spans="1:40">
      <c r="A73" s="3"/>
      <c r="B73" s="3"/>
      <c r="C73" s="131"/>
      <c r="D73" s="131"/>
      <c r="F73" s="131"/>
      <c r="G73" s="131"/>
      <c r="H73" s="131"/>
      <c r="I73" s="131"/>
      <c r="J73" s="131"/>
      <c r="K73" s="131"/>
      <c r="L73" s="174"/>
      <c r="M73" s="325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</row>
    <row r="74" spans="1:40" ht="15.6">
      <c r="A74" s="310" t="s">
        <v>237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174"/>
      <c r="M74" s="325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</row>
    <row r="75" spans="1:40">
      <c r="A75" s="55"/>
      <c r="B75" s="3"/>
      <c r="C75" s="178" t="s">
        <v>139</v>
      </c>
      <c r="D75" s="178" t="s">
        <v>140</v>
      </c>
      <c r="E75" s="178" t="s">
        <v>141</v>
      </c>
      <c r="F75" s="1" t="s">
        <v>133</v>
      </c>
      <c r="G75" s="1"/>
      <c r="H75" s="179" t="s">
        <v>142</v>
      </c>
      <c r="I75" s="1"/>
      <c r="J75" s="180" t="s">
        <v>143</v>
      </c>
      <c r="K75" s="1"/>
      <c r="L75" s="174"/>
      <c r="M75" s="325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</row>
    <row r="76" spans="1:40">
      <c r="A76" s="55"/>
      <c r="B76" s="3"/>
      <c r="C76" s="178"/>
      <c r="D76" s="2"/>
      <c r="E76" s="2"/>
      <c r="F76" s="2"/>
      <c r="G76" s="2"/>
      <c r="H76" s="2"/>
      <c r="I76" s="2"/>
      <c r="J76" s="2"/>
      <c r="K76" s="2"/>
      <c r="L76" s="174"/>
      <c r="M76" s="325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</row>
    <row r="77" spans="1:40" ht="15.6">
      <c r="A77" s="55" t="s">
        <v>135</v>
      </c>
      <c r="B77" s="3"/>
      <c r="C77" s="170"/>
      <c r="D77" s="176" t="s">
        <v>144</v>
      </c>
      <c r="E77" s="1"/>
      <c r="F77" s="1"/>
      <c r="G77" s="183" t="str">
        <f>+G10</f>
        <v xml:space="preserve">      Allocator</v>
      </c>
      <c r="H77" s="55"/>
      <c r="I77" s="1"/>
      <c r="J77" s="175" t="s">
        <v>145</v>
      </c>
      <c r="K77" s="1"/>
      <c r="L77" s="174"/>
      <c r="M77" s="325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</row>
    <row r="78" spans="1:40" ht="16.2" thickBot="1">
      <c r="A78" s="186" t="s">
        <v>136</v>
      </c>
      <c r="B78" s="3"/>
      <c r="C78" s="170"/>
      <c r="D78" s="182" t="s">
        <v>146</v>
      </c>
      <c r="E78" s="175" t="s">
        <v>147</v>
      </c>
      <c r="F78" s="183"/>
      <c r="G78" s="184" t="str">
        <f>+G11</f>
        <v xml:space="preserve">        (page 4)</v>
      </c>
      <c r="H78" s="3"/>
      <c r="I78" s="183"/>
      <c r="J78" s="55" t="s">
        <v>148</v>
      </c>
      <c r="K78" s="1"/>
      <c r="L78" s="174"/>
      <c r="M78" s="325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</row>
    <row r="79" spans="1:40" ht="15.6">
      <c r="A79" s="3"/>
      <c r="B79" s="3"/>
      <c r="C79" s="170"/>
      <c r="D79" s="1"/>
      <c r="E79" s="197"/>
      <c r="F79" s="198"/>
      <c r="G79" s="199"/>
      <c r="H79" s="3"/>
      <c r="I79" s="198"/>
      <c r="J79" s="197"/>
      <c r="K79" s="1"/>
      <c r="L79" s="174"/>
      <c r="M79" s="325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</row>
    <row r="80" spans="1:40">
      <c r="A80" s="55"/>
      <c r="B80" s="3"/>
      <c r="C80" s="170" t="s">
        <v>170</v>
      </c>
      <c r="D80" s="1"/>
      <c r="E80" s="1"/>
      <c r="F80" s="1"/>
      <c r="G80" s="1"/>
      <c r="H80" s="1"/>
      <c r="I80" s="1"/>
      <c r="J80" s="1"/>
      <c r="K80" s="1"/>
      <c r="L80" s="174"/>
      <c r="M80" s="325"/>
      <c r="N80" s="200"/>
      <c r="O80" s="200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</row>
    <row r="81" spans="1:40" ht="15.6">
      <c r="A81" s="55">
        <f>+A67+1</f>
        <v>54</v>
      </c>
      <c r="B81" s="3"/>
      <c r="C81" s="170" t="s">
        <v>171</v>
      </c>
      <c r="D81" s="1" t="s">
        <v>102</v>
      </c>
      <c r="E81" s="256">
        <v>30708302</v>
      </c>
      <c r="F81" s="1"/>
      <c r="G81" s="1" t="s">
        <v>138</v>
      </c>
      <c r="H81" s="188">
        <f>+J144</f>
        <v>0.86469700000000005</v>
      </c>
      <c r="I81" s="1"/>
      <c r="J81" s="1">
        <f>+H81*E81</f>
        <v>26553376.614494003</v>
      </c>
      <c r="K81" s="131"/>
      <c r="L81" s="174"/>
      <c r="M81" s="324"/>
      <c r="N81" s="275"/>
      <c r="O81" s="200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</row>
    <row r="82" spans="1:40" ht="15.6">
      <c r="A82" s="55">
        <f>+A81+1</f>
        <v>55</v>
      </c>
      <c r="B82" s="3"/>
      <c r="C82" s="170" t="s">
        <v>36</v>
      </c>
      <c r="D82" s="1" t="s">
        <v>322</v>
      </c>
      <c r="E82" s="256">
        <v>28103969</v>
      </c>
      <c r="F82" s="1"/>
      <c r="G82" s="1" t="str">
        <f>+G81</f>
        <v>TP</v>
      </c>
      <c r="H82" s="188">
        <f>+H81</f>
        <v>0.86469700000000005</v>
      </c>
      <c r="I82" s="1"/>
      <c r="J82" s="1">
        <f t="shared" ref="J82:J89" si="1">+H82*E82</f>
        <v>24301417.682393</v>
      </c>
      <c r="K82" s="131"/>
      <c r="L82" s="174"/>
      <c r="M82" s="324"/>
      <c r="N82" s="275"/>
      <c r="O82" s="200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</row>
    <row r="83" spans="1:40" ht="15.6">
      <c r="A83" s="55">
        <f>+A82+1</f>
        <v>56</v>
      </c>
      <c r="B83" s="3"/>
      <c r="C83" s="170" t="s">
        <v>172</v>
      </c>
      <c r="D83" s="1" t="s">
        <v>89</v>
      </c>
      <c r="E83" s="256">
        <v>31583206.960000001</v>
      </c>
      <c r="F83" s="1"/>
      <c r="G83" s="1" t="s">
        <v>156</v>
      </c>
      <c r="H83" s="188">
        <f>+H31</f>
        <v>0.11585613163414071</v>
      </c>
      <c r="I83" s="1"/>
      <c r="J83" s="1">
        <f t="shared" si="1"/>
        <v>3659108.1829860695</v>
      </c>
      <c r="K83" s="1"/>
      <c r="L83" s="174"/>
      <c r="M83" s="324"/>
      <c r="N83" s="275"/>
      <c r="O83" s="200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</row>
    <row r="84" spans="1:40" ht="15.6">
      <c r="A84" s="55">
        <f>+A83+1</f>
        <v>57</v>
      </c>
      <c r="B84" s="3"/>
      <c r="C84" s="170" t="s">
        <v>33</v>
      </c>
      <c r="D84" s="1" t="s">
        <v>99</v>
      </c>
      <c r="E84" s="256">
        <v>384170</v>
      </c>
      <c r="F84" s="1"/>
      <c r="G84" s="1" t="s">
        <v>156</v>
      </c>
      <c r="H84" s="188">
        <v>1</v>
      </c>
      <c r="I84" s="1"/>
      <c r="J84" s="1">
        <f t="shared" si="1"/>
        <v>384170</v>
      </c>
      <c r="K84" s="1"/>
      <c r="L84" s="174"/>
      <c r="M84" s="324"/>
      <c r="N84" s="275"/>
      <c r="O84" s="200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</row>
    <row r="85" spans="1:40" ht="15.6">
      <c r="A85" s="55">
        <f>+A84+1</f>
        <v>58</v>
      </c>
      <c r="B85" s="3"/>
      <c r="C85" s="170" t="s">
        <v>231</v>
      </c>
      <c r="D85" s="1" t="s">
        <v>118</v>
      </c>
      <c r="E85" s="256">
        <v>227200</v>
      </c>
      <c r="F85" s="1"/>
      <c r="G85" s="1" t="str">
        <f>G83</f>
        <v>W/S</v>
      </c>
      <c r="H85" s="188">
        <f>H83</f>
        <v>0.11585613163414071</v>
      </c>
      <c r="I85" s="1"/>
      <c r="J85" s="1">
        <f t="shared" si="1"/>
        <v>26322.513107276769</v>
      </c>
      <c r="K85" s="1"/>
      <c r="L85" s="174"/>
      <c r="M85" s="324"/>
      <c r="N85" s="275"/>
      <c r="O85" s="200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</row>
    <row r="86" spans="1:40" ht="15.6">
      <c r="A86" s="55">
        <f t="shared" ref="A86:A122" si="2">+A85+1</f>
        <v>59</v>
      </c>
      <c r="B86" s="3"/>
      <c r="C86" s="170" t="s">
        <v>232</v>
      </c>
      <c r="D86" s="1" t="s">
        <v>119</v>
      </c>
      <c r="E86" s="256">
        <v>214266.83999999982</v>
      </c>
      <c r="F86" s="1"/>
      <c r="G86" s="1" t="str">
        <f>+G85</f>
        <v>W/S</v>
      </c>
      <c r="H86" s="188">
        <f>+H85</f>
        <v>0.11585613163414071</v>
      </c>
      <c r="I86" s="1"/>
      <c r="J86" s="1">
        <f t="shared" si="1"/>
        <v>24824.127219871345</v>
      </c>
      <c r="K86" s="1"/>
      <c r="L86" s="174"/>
      <c r="M86" s="324"/>
      <c r="N86" s="275"/>
      <c r="O86" s="200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</row>
    <row r="87" spans="1:40" ht="15.6">
      <c r="A87" s="55">
        <f t="shared" si="2"/>
        <v>60</v>
      </c>
      <c r="B87" s="3"/>
      <c r="C87" s="170" t="s">
        <v>35</v>
      </c>
      <c r="D87" s="1"/>
      <c r="E87" s="256">
        <v>1600549.14</v>
      </c>
      <c r="F87" s="1"/>
      <c r="G87" s="1" t="str">
        <f>G83</f>
        <v>W/S</v>
      </c>
      <c r="H87" s="188">
        <f>H83</f>
        <v>0.11585613163414071</v>
      </c>
      <c r="I87" s="1"/>
      <c r="J87" s="1">
        <f t="shared" si="1"/>
        <v>185433.4318507507</v>
      </c>
      <c r="K87" s="1"/>
      <c r="L87" s="174"/>
      <c r="M87" s="324"/>
      <c r="N87" s="275"/>
      <c r="O87" s="200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</row>
    <row r="88" spans="1:40">
      <c r="A88" s="55">
        <f t="shared" si="2"/>
        <v>61</v>
      </c>
      <c r="B88" s="3"/>
      <c r="C88" s="170" t="s">
        <v>34</v>
      </c>
      <c r="D88" s="1" t="s">
        <v>371</v>
      </c>
      <c r="E88" s="1">
        <v>0</v>
      </c>
      <c r="F88" s="1"/>
      <c r="G88" s="234" t="str">
        <f>+G81</f>
        <v>TP</v>
      </c>
      <c r="H88" s="188">
        <f>+H81</f>
        <v>0.86469700000000005</v>
      </c>
      <c r="I88" s="1"/>
      <c r="J88" s="1">
        <f>+H88*E88</f>
        <v>0</v>
      </c>
      <c r="K88" s="1"/>
      <c r="L88" s="174"/>
      <c r="M88" s="325"/>
      <c r="N88" s="174"/>
      <c r="O88" s="200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</row>
    <row r="89" spans="1:40" ht="16.2" thickBot="1">
      <c r="A89" s="55">
        <f t="shared" si="2"/>
        <v>62</v>
      </c>
      <c r="B89" s="3"/>
      <c r="C89" s="170" t="s">
        <v>157</v>
      </c>
      <c r="D89" s="1" t="str">
        <f>+D34</f>
        <v>356.1</v>
      </c>
      <c r="E89" s="258">
        <v>0</v>
      </c>
      <c r="F89" s="1"/>
      <c r="G89" s="1" t="s">
        <v>189</v>
      </c>
      <c r="H89" s="188">
        <f>+H34</f>
        <v>0</v>
      </c>
      <c r="I89" s="1"/>
      <c r="J89" s="4">
        <f t="shared" si="1"/>
        <v>0</v>
      </c>
      <c r="K89" s="1"/>
      <c r="L89" s="201"/>
      <c r="M89" s="324"/>
      <c r="N89" s="200"/>
      <c r="O89" s="200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</row>
    <row r="90" spans="1:40">
      <c r="A90" s="55">
        <f t="shared" si="2"/>
        <v>63</v>
      </c>
      <c r="B90" s="3"/>
      <c r="C90" s="170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1"/>
      <c r="E90" s="1">
        <f>+E81-E82+E83-E84-E87+E89+E88+E85-E86</f>
        <v>32215753.98</v>
      </c>
      <c r="F90" s="1"/>
      <c r="G90" s="1"/>
      <c r="H90" s="1"/>
      <c r="I90" s="1"/>
      <c r="J90" s="1">
        <f>+J81-J82+J83-J84-J87+J89+J88+J85-J86</f>
        <v>5342962.0691237273</v>
      </c>
      <c r="K90" s="1"/>
      <c r="L90" s="174"/>
      <c r="M90" s="325"/>
      <c r="N90" s="174"/>
      <c r="O90" s="200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</row>
    <row r="91" spans="1:40">
      <c r="A91" s="55">
        <f t="shared" si="2"/>
        <v>64</v>
      </c>
      <c r="B91" s="3"/>
      <c r="C91" s="3"/>
      <c r="D91" s="1"/>
      <c r="E91" s="3"/>
      <c r="F91" s="1"/>
      <c r="G91" s="1"/>
      <c r="H91" s="1"/>
      <c r="I91" s="1"/>
      <c r="J91" s="3"/>
      <c r="K91" s="1"/>
      <c r="L91" s="174"/>
      <c r="M91" s="325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</row>
    <row r="92" spans="1:40">
      <c r="A92" s="55">
        <f t="shared" si="2"/>
        <v>65</v>
      </c>
      <c r="B92" s="3"/>
      <c r="C92" s="170" t="s">
        <v>123</v>
      </c>
      <c r="D92" s="1"/>
      <c r="E92" s="1"/>
      <c r="F92" s="1"/>
      <c r="G92" s="1"/>
      <c r="H92" s="1"/>
      <c r="I92" s="1"/>
      <c r="J92" s="1"/>
      <c r="K92" s="1"/>
      <c r="L92" s="174"/>
      <c r="M92" s="325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</row>
    <row r="93" spans="1:40">
      <c r="A93" s="55">
        <f t="shared" si="2"/>
        <v>66</v>
      </c>
      <c r="B93" s="3"/>
      <c r="C93" s="170" t="str">
        <f>+C16</f>
        <v xml:space="preserve">  Transmission</v>
      </c>
      <c r="D93" s="1" t="s">
        <v>323</v>
      </c>
      <c r="E93" s="256">
        <f>+E16*'BHP WP5 Depreciation Rates'!H21</f>
        <v>5913044.3796239998</v>
      </c>
      <c r="F93" s="1"/>
      <c r="G93" s="1" t="s">
        <v>138</v>
      </c>
      <c r="H93" s="188">
        <f>+J144</f>
        <v>0.86469700000000005</v>
      </c>
      <c r="I93" s="1"/>
      <c r="J93" s="1">
        <f>+H93*E93</f>
        <v>5112991.7359277345</v>
      </c>
      <c r="K93" s="1"/>
      <c r="L93" s="174"/>
      <c r="M93" s="325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</row>
    <row r="94" spans="1:40">
      <c r="A94" s="55">
        <f t="shared" si="2"/>
        <v>67</v>
      </c>
      <c r="B94" s="3"/>
      <c r="C94" s="170" t="str">
        <f>+C17</f>
        <v xml:space="preserve">  New Construction CUS Assets</v>
      </c>
      <c r="D94" s="170" t="s">
        <v>359</v>
      </c>
      <c r="E94" s="256">
        <f>'BHP WP2 Capital Additions'!F22</f>
        <v>737478.46799999999</v>
      </c>
      <c r="F94" s="1"/>
      <c r="G94" s="1" t="s">
        <v>138</v>
      </c>
      <c r="H94" s="188">
        <f>H93</f>
        <v>0.86469700000000005</v>
      </c>
      <c r="I94" s="1"/>
      <c r="J94" s="1">
        <f>+H94*E94</f>
        <v>637695.41884419601</v>
      </c>
      <c r="K94" s="1"/>
      <c r="L94" s="174"/>
      <c r="M94" s="325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</row>
    <row r="95" spans="1:40">
      <c r="A95" s="55">
        <f t="shared" si="2"/>
        <v>68</v>
      </c>
      <c r="B95" s="3"/>
      <c r="C95" s="170" t="str">
        <f>+C18</f>
        <v xml:space="preserve">  New Construction CUS Assets</v>
      </c>
      <c r="D95" s="170" t="s">
        <v>360</v>
      </c>
      <c r="E95" s="256">
        <f>'BHP WP3 Capital Additions'!F27</f>
        <v>432495.30093333329</v>
      </c>
      <c r="F95" s="1"/>
      <c r="G95" s="1" t="s">
        <v>138</v>
      </c>
      <c r="H95" s="188">
        <f>H94</f>
        <v>0.86469700000000005</v>
      </c>
      <c r="I95" s="1"/>
      <c r="J95" s="1">
        <f>+H95*E95</f>
        <v>373977.3892311505</v>
      </c>
      <c r="K95" s="1"/>
      <c r="L95" s="174"/>
      <c r="M95" s="325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</row>
    <row r="96" spans="1:40">
      <c r="A96" s="55">
        <f t="shared" si="2"/>
        <v>69</v>
      </c>
      <c r="B96" s="3"/>
      <c r="C96" s="170" t="s">
        <v>233</v>
      </c>
      <c r="D96" s="1" t="s">
        <v>324</v>
      </c>
      <c r="E96" s="256">
        <f>(E20+E22)*'BHP WP5 Depreciation Rates'!H35</f>
        <v>4461023.3391969996</v>
      </c>
      <c r="F96" s="1"/>
      <c r="G96" s="1" t="s">
        <v>156</v>
      </c>
      <c r="H96" s="188">
        <f>H83</f>
        <v>0.11585613163414071</v>
      </c>
      <c r="I96" s="1"/>
      <c r="J96" s="1">
        <f>+H96*E96</f>
        <v>516836.90720898152</v>
      </c>
      <c r="K96" s="1"/>
      <c r="L96" s="174"/>
      <c r="M96" s="325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</row>
    <row r="97" spans="1:40" ht="15.6" thickBot="1">
      <c r="A97" s="55">
        <f t="shared" si="2"/>
        <v>70</v>
      </c>
      <c r="B97" s="3"/>
      <c r="C97" s="170" t="str">
        <f>+C89</f>
        <v xml:space="preserve">  Common</v>
      </c>
      <c r="D97" s="1" t="s">
        <v>90</v>
      </c>
      <c r="E97" s="256">
        <v>0</v>
      </c>
      <c r="F97" s="1"/>
      <c r="G97" s="1" t="s">
        <v>189</v>
      </c>
      <c r="H97" s="188">
        <f>+H89</f>
        <v>0</v>
      </c>
      <c r="I97" s="1"/>
      <c r="J97" s="4">
        <f>+H97*E97</f>
        <v>0</v>
      </c>
      <c r="K97" s="1"/>
      <c r="L97" s="174"/>
      <c r="M97" s="325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</row>
    <row r="98" spans="1:40">
      <c r="A98" s="55">
        <f t="shared" si="2"/>
        <v>71</v>
      </c>
      <c r="B98" s="3"/>
      <c r="C98" s="170" t="str">
        <f>"TOTAL DEPRECIATION (Sum lines "&amp;A93&amp;" - "&amp;A97&amp;")"</f>
        <v>TOTAL DEPRECIATION (Sum lines 66 - 70)</v>
      </c>
      <c r="D98" s="1"/>
      <c r="E98" s="270">
        <f>SUM(E93:E97)</f>
        <v>11544041.487754334</v>
      </c>
      <c r="F98" s="1"/>
      <c r="G98" s="1"/>
      <c r="H98" s="1"/>
      <c r="I98" s="1"/>
      <c r="J98" s="1">
        <f>SUM(J93:J97)</f>
        <v>6641501.4512120625</v>
      </c>
      <c r="K98" s="1"/>
      <c r="L98" s="174"/>
      <c r="M98" s="325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</row>
    <row r="99" spans="1:40">
      <c r="A99" s="55">
        <f t="shared" si="2"/>
        <v>72</v>
      </c>
      <c r="B99" s="3"/>
      <c r="C99" s="170"/>
      <c r="D99" s="1"/>
      <c r="E99" s="65"/>
      <c r="F99" s="1"/>
      <c r="G99" s="1"/>
      <c r="H99" s="1"/>
      <c r="I99" s="1"/>
      <c r="J99" s="1"/>
      <c r="K99" s="1"/>
      <c r="L99" s="174"/>
      <c r="M99" s="325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</row>
    <row r="100" spans="1:40">
      <c r="A100" s="55">
        <f t="shared" si="2"/>
        <v>73</v>
      </c>
      <c r="B100" s="3"/>
      <c r="C100" s="170" t="s">
        <v>55</v>
      </c>
      <c r="D100" s="3"/>
      <c r="E100" s="1"/>
      <c r="F100" s="1"/>
      <c r="G100" s="1"/>
      <c r="H100" s="1"/>
      <c r="I100" s="1"/>
      <c r="J100" s="1"/>
      <c r="K100" s="1"/>
      <c r="L100" s="174"/>
      <c r="M100" s="325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</row>
    <row r="101" spans="1:40">
      <c r="A101" s="55">
        <f t="shared" si="2"/>
        <v>74</v>
      </c>
      <c r="B101" s="3"/>
      <c r="C101" s="170" t="s">
        <v>173</v>
      </c>
      <c r="D101" s="3"/>
      <c r="E101" s="235"/>
      <c r="F101" s="1"/>
      <c r="G101" s="1"/>
      <c r="H101" s="3"/>
      <c r="I101" s="1"/>
      <c r="J101" s="3"/>
      <c r="K101" s="1"/>
      <c r="L101" s="174"/>
      <c r="M101" s="325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</row>
    <row r="102" spans="1:40" ht="15.6">
      <c r="A102" s="55">
        <f t="shared" si="2"/>
        <v>75</v>
      </c>
      <c r="B102" s="3"/>
      <c r="C102" s="170" t="s">
        <v>174</v>
      </c>
      <c r="D102" s="1" t="s">
        <v>325</v>
      </c>
      <c r="E102" s="256">
        <v>1804246</v>
      </c>
      <c r="F102" s="1"/>
      <c r="G102" s="1" t="s">
        <v>156</v>
      </c>
      <c r="H102" s="202">
        <f>+J176</f>
        <v>0.11585613163414071</v>
      </c>
      <c r="I102" s="1"/>
      <c r="J102" s="1">
        <f>+H102*E102</f>
        <v>209032.96207637186</v>
      </c>
      <c r="K102" s="1"/>
      <c r="L102" s="174"/>
      <c r="M102" s="324"/>
      <c r="N102" s="275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</row>
    <row r="103" spans="1:40">
      <c r="A103" s="55">
        <f t="shared" si="2"/>
        <v>76</v>
      </c>
      <c r="B103" s="3"/>
      <c r="C103" s="170" t="s">
        <v>175</v>
      </c>
      <c r="D103" s="1" t="s">
        <v>41</v>
      </c>
      <c r="E103" s="254">
        <v>0</v>
      </c>
      <c r="F103" s="1"/>
      <c r="G103" s="1" t="str">
        <f>+G102</f>
        <v>W/S</v>
      </c>
      <c r="H103" s="202">
        <f>+H102</f>
        <v>0.11585613163414071</v>
      </c>
      <c r="I103" s="1"/>
      <c r="J103" s="1">
        <f>+H103*E103</f>
        <v>0</v>
      </c>
      <c r="K103" s="1"/>
      <c r="L103" s="174"/>
      <c r="M103" s="325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</row>
    <row r="104" spans="1:40">
      <c r="A104" s="55">
        <f t="shared" si="2"/>
        <v>77</v>
      </c>
      <c r="B104" s="3"/>
      <c r="C104" s="170" t="s">
        <v>176</v>
      </c>
      <c r="D104" s="1" t="s">
        <v>133</v>
      </c>
      <c r="E104" s="1"/>
      <c r="F104" s="1"/>
      <c r="G104" s="1"/>
      <c r="H104" s="3"/>
      <c r="I104" s="1"/>
      <c r="J104" s="3"/>
      <c r="K104" s="1"/>
      <c r="L104" s="174"/>
      <c r="M104" s="325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</row>
    <row r="105" spans="1:40">
      <c r="A105" s="55">
        <f t="shared" si="2"/>
        <v>78</v>
      </c>
      <c r="B105" s="3"/>
      <c r="C105" s="170" t="s">
        <v>177</v>
      </c>
      <c r="D105" s="1" t="s">
        <v>326</v>
      </c>
      <c r="E105" s="256">
        <v>8555921.9000000004</v>
      </c>
      <c r="F105" s="1"/>
      <c r="G105" s="1" t="s">
        <v>169</v>
      </c>
      <c r="H105" s="202">
        <f>+H24</f>
        <v>0.17583215214572082</v>
      </c>
      <c r="I105" s="1"/>
      <c r="J105" s="1">
        <f>+H105*E105</f>
        <v>1504406.1612677048</v>
      </c>
      <c r="K105" s="1"/>
      <c r="L105" s="174"/>
      <c r="M105" s="326"/>
      <c r="N105" s="275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</row>
    <row r="106" spans="1:40">
      <c r="A106" s="55">
        <f t="shared" si="2"/>
        <v>79</v>
      </c>
      <c r="B106" s="3"/>
      <c r="C106" s="170" t="s">
        <v>178</v>
      </c>
      <c r="D106" s="1" t="s">
        <v>41</v>
      </c>
      <c r="E106" s="254">
        <v>0</v>
      </c>
      <c r="F106" s="1"/>
      <c r="G106" s="1" t="str">
        <f>+G50</f>
        <v>NA</v>
      </c>
      <c r="H106" s="203" t="s">
        <v>228</v>
      </c>
      <c r="I106" s="1"/>
      <c r="J106" s="1">
        <v>0</v>
      </c>
      <c r="K106" s="1"/>
      <c r="L106" s="174"/>
      <c r="M106" s="325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</row>
    <row r="107" spans="1:40" ht="15.6" thickBot="1">
      <c r="A107" s="55">
        <f t="shared" si="2"/>
        <v>80</v>
      </c>
      <c r="B107" s="3"/>
      <c r="C107" s="170" t="s">
        <v>179</v>
      </c>
      <c r="D107" s="1" t="str">
        <f>+D106</f>
        <v>263.i</v>
      </c>
      <c r="E107" s="255">
        <v>0</v>
      </c>
      <c r="F107" s="1"/>
      <c r="G107" s="1" t="str">
        <f>+G105</f>
        <v>GP</v>
      </c>
      <c r="H107" s="202">
        <f>+H105</f>
        <v>0.17583215214572082</v>
      </c>
      <c r="I107" s="1"/>
      <c r="J107" s="4">
        <f>+H107*E107</f>
        <v>0</v>
      </c>
      <c r="K107" s="1"/>
      <c r="L107" s="174"/>
      <c r="M107" s="325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</row>
    <row r="108" spans="1:40">
      <c r="A108" s="55">
        <f t="shared" si="2"/>
        <v>81</v>
      </c>
      <c r="B108" s="3"/>
      <c r="C108" s="170" t="str">
        <f>"TOTAL OTHER TAXES  (sum lines "&amp;A102&amp;" - "&amp;A107&amp;")"</f>
        <v>TOTAL OTHER TAXES  (sum lines 75 - 80)</v>
      </c>
      <c r="D108" s="1"/>
      <c r="E108" s="1">
        <f>SUM(E102:E107)</f>
        <v>10360167.9</v>
      </c>
      <c r="F108" s="1"/>
      <c r="G108" s="1"/>
      <c r="H108" s="202"/>
      <c r="I108" s="1"/>
      <c r="J108" s="1">
        <f>SUM(J102:J107)</f>
        <v>1713439.1233440766</v>
      </c>
      <c r="K108" s="1"/>
      <c r="L108" s="174"/>
      <c r="M108" s="325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</row>
    <row r="109" spans="1:40">
      <c r="A109" s="55">
        <f t="shared" si="2"/>
        <v>82</v>
      </c>
      <c r="B109" s="3"/>
      <c r="C109" s="170"/>
      <c r="D109" s="1"/>
      <c r="E109" s="1"/>
      <c r="F109" s="1"/>
      <c r="G109" s="1"/>
      <c r="H109" s="202"/>
      <c r="I109" s="1"/>
      <c r="J109" s="1"/>
      <c r="K109" s="1"/>
      <c r="L109" s="174"/>
      <c r="M109" s="325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</row>
    <row r="110" spans="1:40">
      <c r="A110" s="55">
        <f t="shared" si="2"/>
        <v>83</v>
      </c>
      <c r="B110" s="3"/>
      <c r="C110" s="170"/>
      <c r="D110" s="1"/>
      <c r="E110" s="1"/>
      <c r="F110" s="1"/>
      <c r="G110" s="1"/>
      <c r="H110" s="202"/>
      <c r="I110" s="1"/>
      <c r="J110" s="1"/>
      <c r="K110" s="1"/>
      <c r="L110" s="174"/>
      <c r="M110" s="325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</row>
    <row r="111" spans="1:40">
      <c r="A111" s="55">
        <f t="shared" si="2"/>
        <v>84</v>
      </c>
      <c r="B111" s="3"/>
      <c r="C111" s="170" t="s">
        <v>180</v>
      </c>
      <c r="D111" s="1" t="s">
        <v>54</v>
      </c>
      <c r="E111" s="1"/>
      <c r="F111" s="1"/>
      <c r="G111" s="3"/>
      <c r="H111" s="204"/>
      <c r="I111" s="1"/>
      <c r="J111" s="3"/>
      <c r="K111" s="1"/>
      <c r="L111" s="174"/>
      <c r="M111" s="325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</row>
    <row r="112" spans="1:40">
      <c r="A112" s="55">
        <f t="shared" si="2"/>
        <v>85</v>
      </c>
      <c r="B112" s="3"/>
      <c r="C112" s="205" t="s">
        <v>224</v>
      </c>
      <c r="D112" s="1"/>
      <c r="E112" s="236">
        <f>IF(E230&gt;0,1-(((1-E231)*(1-E230))/(1-E231*E230*E232)),0)</f>
        <v>0.20999999999999996</v>
      </c>
      <c r="F112" s="1"/>
      <c r="G112" s="3"/>
      <c r="H112" s="204"/>
      <c r="I112" s="1"/>
      <c r="J112" s="3"/>
      <c r="K112" s="1"/>
      <c r="L112" s="174"/>
      <c r="M112" s="325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</row>
    <row r="113" spans="1:40">
      <c r="A113" s="55">
        <f t="shared" si="2"/>
        <v>86</v>
      </c>
      <c r="B113" s="3"/>
      <c r="C113" s="3" t="s">
        <v>225</v>
      </c>
      <c r="D113" s="1"/>
      <c r="E113" s="236">
        <f>IF(J199&gt;0,(E112/(1-E112))*(1-J196/J199),0)</f>
        <v>0.18667114721393624</v>
      </c>
      <c r="F113" s="1"/>
      <c r="G113" s="3"/>
      <c r="H113" s="204"/>
      <c r="I113" s="1"/>
      <c r="J113" s="3"/>
      <c r="K113" s="1"/>
      <c r="L113" s="174"/>
      <c r="M113" s="325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</row>
    <row r="114" spans="1:40">
      <c r="A114" s="55">
        <f t="shared" si="2"/>
        <v>87</v>
      </c>
      <c r="B114" s="3"/>
      <c r="C114" s="170" t="str">
        <f>"       where WCLTD=(line "&amp;A196&amp;") and R= (line "&amp;A199&amp;")"</f>
        <v xml:space="preserve">       where WCLTD=(line 156) and R= (line 159)</v>
      </c>
      <c r="D114" s="1"/>
      <c r="E114" s="1"/>
      <c r="F114" s="1"/>
      <c r="G114" s="3"/>
      <c r="H114" s="204"/>
      <c r="I114" s="1"/>
      <c r="J114" s="3"/>
      <c r="K114" s="1"/>
      <c r="L114" s="174"/>
      <c r="M114" s="325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</row>
    <row r="115" spans="1:40">
      <c r="A115" s="55">
        <f t="shared" si="2"/>
        <v>88</v>
      </c>
      <c r="B115" s="3"/>
      <c r="C115" s="170" t="s">
        <v>56</v>
      </c>
      <c r="D115" s="1"/>
      <c r="E115" s="1"/>
      <c r="F115" s="1"/>
      <c r="G115" s="3"/>
      <c r="H115" s="204"/>
      <c r="I115" s="1"/>
      <c r="J115" s="3"/>
      <c r="K115" s="1"/>
      <c r="L115" s="174"/>
      <c r="M115" s="325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</row>
    <row r="116" spans="1:40">
      <c r="A116" s="55">
        <f t="shared" si="2"/>
        <v>89</v>
      </c>
      <c r="B116" s="3"/>
      <c r="C116" s="205"/>
      <c r="D116" s="1"/>
      <c r="E116" s="206"/>
      <c r="F116" s="1"/>
      <c r="G116" s="3"/>
      <c r="H116" s="204"/>
      <c r="I116" s="1"/>
      <c r="J116" s="3"/>
      <c r="K116" s="1"/>
      <c r="L116" s="174"/>
      <c r="M116" s="325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</row>
    <row r="117" spans="1:40">
      <c r="A117" s="55">
        <f t="shared" si="2"/>
        <v>90</v>
      </c>
      <c r="B117" s="3"/>
      <c r="C117" s="237" t="s">
        <v>214</v>
      </c>
      <c r="D117" s="3" t="str">
        <f>"(line "&amp;A113&amp;" * line "&amp;A120&amp;")"</f>
        <v>(line 86 * line 93)</v>
      </c>
      <c r="E117" s="139"/>
      <c r="F117" s="1"/>
      <c r="G117" s="1" t="s">
        <v>133</v>
      </c>
      <c r="H117" s="202" t="s">
        <v>133</v>
      </c>
      <c r="I117" s="1"/>
      <c r="J117" s="1">
        <f>E113*J120</f>
        <v>2954821.360743701</v>
      </c>
      <c r="K117" s="1"/>
      <c r="L117" s="174"/>
      <c r="M117" s="325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</row>
    <row r="118" spans="1:40">
      <c r="A118" s="55">
        <f t="shared" si="2"/>
        <v>91</v>
      </c>
      <c r="B118" s="3"/>
      <c r="C118" s="207"/>
      <c r="D118" s="208"/>
      <c r="E118" s="1"/>
      <c r="F118" s="1"/>
      <c r="G118" s="1"/>
      <c r="H118" s="202"/>
      <c r="I118" s="1"/>
      <c r="J118" s="1"/>
      <c r="K118" s="1"/>
      <c r="L118" s="174"/>
      <c r="M118" s="325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</row>
    <row r="119" spans="1:40">
      <c r="A119" s="55">
        <f t="shared" si="2"/>
        <v>92</v>
      </c>
      <c r="B119" s="3"/>
      <c r="C119" s="170" t="s">
        <v>181</v>
      </c>
      <c r="D119" s="190"/>
      <c r="E119" s="1"/>
      <c r="F119" s="1"/>
      <c r="K119" s="1"/>
      <c r="L119" s="174"/>
      <c r="M119" s="325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</row>
    <row r="120" spans="1:40" ht="17.25" customHeight="1">
      <c r="A120" s="55">
        <f t="shared" si="2"/>
        <v>93</v>
      </c>
      <c r="B120" s="3"/>
      <c r="C120" s="237" t="str">
        <f>"  [ Rate Base (line "&amp;A67&amp;") * R (line "&amp;A199&amp;")]"</f>
        <v xml:space="preserve">  [ Rate Base (line 53) * R (line 159)]</v>
      </c>
      <c r="D120" s="3"/>
      <c r="E120" s="1"/>
      <c r="F120" s="1"/>
      <c r="G120" s="1" t="s">
        <v>57</v>
      </c>
      <c r="H120" s="204"/>
      <c r="I120" s="1"/>
      <c r="J120" s="1">
        <f>+$J199*J67</f>
        <v>15829020.203948818</v>
      </c>
      <c r="K120" s="1"/>
      <c r="L120" s="174"/>
      <c r="M120" s="325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</row>
    <row r="121" spans="1:40">
      <c r="A121" s="55">
        <f t="shared" si="2"/>
        <v>94</v>
      </c>
      <c r="B121" s="3"/>
      <c r="C121" s="170"/>
      <c r="D121" s="3"/>
      <c r="E121" s="195"/>
      <c r="F121" s="1"/>
      <c r="G121" s="1"/>
      <c r="H121" s="204"/>
      <c r="I121" s="1"/>
      <c r="J121" s="195"/>
      <c r="K121" s="1"/>
      <c r="L121" s="174"/>
      <c r="M121" s="325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</row>
    <row r="122" spans="1:40" ht="15.6" thickBot="1">
      <c r="A122" s="55">
        <f t="shared" si="2"/>
        <v>95</v>
      </c>
      <c r="B122" s="3"/>
      <c r="C122" s="170" t="str">
        <f>"ESTIMATED REVENUE REQUIREMENT  (sum lines "&amp;A90&amp;", "&amp;A98&amp;", "&amp;A108&amp;", "&amp;A117&amp;", "&amp;A120&amp;")"</f>
        <v>ESTIMATED REVENUE REQUIREMENT  (sum lines 63, 71, 81, 90, 93)</v>
      </c>
      <c r="D122" s="1"/>
      <c r="E122" s="238">
        <f>E117+E108+E98+E90</f>
        <v>54119963.36775434</v>
      </c>
      <c r="F122" s="1"/>
      <c r="G122" s="1"/>
      <c r="H122" s="1"/>
      <c r="I122" s="1"/>
      <c r="J122" s="239">
        <f>J117+J108+J98+J90+J120</f>
        <v>32481744.208372384</v>
      </c>
      <c r="K122" s="131"/>
      <c r="L122" s="174"/>
      <c r="M122" s="325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</row>
    <row r="123" spans="1:40" ht="15.6" thickTop="1">
      <c r="A123" s="55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174"/>
      <c r="M123" s="325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</row>
    <row r="124" spans="1:40">
      <c r="A124" s="55"/>
      <c r="B124" s="3"/>
      <c r="C124" s="3"/>
      <c r="D124" s="3"/>
      <c r="E124" s="3"/>
      <c r="F124" s="3"/>
      <c r="G124" s="3"/>
      <c r="H124" s="3"/>
      <c r="I124" s="173" t="s">
        <v>320</v>
      </c>
      <c r="J124" s="209">
        <f>J1</f>
        <v>44834</v>
      </c>
      <c r="K124" s="1"/>
      <c r="L124" s="174"/>
      <c r="M124" s="325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</row>
    <row r="125" spans="1:40">
      <c r="A125" s="55"/>
      <c r="B125" s="3"/>
      <c r="C125" s="3"/>
      <c r="D125" s="3"/>
      <c r="E125" s="3"/>
      <c r="F125" s="3"/>
      <c r="G125" s="3"/>
      <c r="I125" s="173" t="str">
        <f>$I$2</f>
        <v>Service Year</v>
      </c>
      <c r="J125" s="131">
        <f>$J$2</f>
        <v>2023</v>
      </c>
      <c r="L125" s="174"/>
      <c r="M125" s="325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</row>
    <row r="126" spans="1:40" ht="15.6">
      <c r="A126" s="311" t="s">
        <v>238</v>
      </c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174"/>
      <c r="M126" s="325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</row>
    <row r="127" spans="1:40" ht="15.6">
      <c r="A127" s="312" t="s">
        <v>134</v>
      </c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174"/>
      <c r="M127" s="325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</row>
    <row r="128" spans="1:40">
      <c r="A128" s="3"/>
      <c r="B128" s="3"/>
      <c r="C128" s="131"/>
      <c r="D128" s="131"/>
      <c r="F128" s="131"/>
      <c r="G128" s="131"/>
      <c r="H128" s="131"/>
      <c r="I128" s="131"/>
      <c r="J128" s="131"/>
      <c r="K128" s="131"/>
      <c r="L128" s="174"/>
      <c r="M128" s="325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</row>
    <row r="129" spans="1:40" ht="15.6">
      <c r="A129" s="310" t="s">
        <v>237</v>
      </c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174"/>
      <c r="M129" s="325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</row>
    <row r="130" spans="1:40">
      <c r="A130" s="55"/>
      <c r="B130" s="3"/>
      <c r="C130" s="3"/>
      <c r="D130" s="170"/>
      <c r="E130" s="170"/>
      <c r="F130" s="170"/>
      <c r="G130" s="170"/>
      <c r="H130" s="170"/>
      <c r="I130" s="170"/>
      <c r="J130" s="170"/>
      <c r="K130" s="170"/>
      <c r="L130" s="174"/>
      <c r="M130" s="325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</row>
    <row r="131" spans="1:40" ht="15.6">
      <c r="A131" s="313" t="s">
        <v>3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174"/>
      <c r="M131" s="325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</row>
    <row r="132" spans="1:40" ht="15.6">
      <c r="A132" s="55"/>
      <c r="B132" s="3"/>
      <c r="C132" s="187"/>
      <c r="D132" s="131"/>
      <c r="E132" s="131"/>
      <c r="F132" s="131"/>
      <c r="G132" s="131"/>
      <c r="H132" s="131"/>
      <c r="I132" s="131"/>
      <c r="J132" s="131"/>
      <c r="K132" s="1"/>
      <c r="L132" s="174"/>
      <c r="M132" s="325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</row>
    <row r="133" spans="1:40" ht="15.6">
      <c r="A133" s="55" t="s">
        <v>135</v>
      </c>
      <c r="B133" s="3"/>
      <c r="C133" s="187"/>
      <c r="D133" s="131"/>
      <c r="E133" s="131"/>
      <c r="F133" s="131"/>
      <c r="G133" s="131"/>
      <c r="H133" s="131"/>
      <c r="I133" s="131"/>
      <c r="J133" s="131"/>
      <c r="K133" s="1"/>
      <c r="L133" s="174"/>
      <c r="M133" s="325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</row>
    <row r="134" spans="1:40" ht="15.6" thickBot="1">
      <c r="A134" s="186" t="s">
        <v>136</v>
      </c>
      <c r="B134" s="3"/>
      <c r="C134" s="171" t="s">
        <v>81</v>
      </c>
      <c r="D134" s="131"/>
      <c r="E134" s="131"/>
      <c r="F134" s="131"/>
      <c r="G134" s="131"/>
      <c r="H134" s="131"/>
      <c r="I134" s="3"/>
      <c r="J134" s="3"/>
      <c r="K134" s="1"/>
      <c r="L134" s="174"/>
      <c r="M134" s="325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</row>
    <row r="135" spans="1:40" ht="15.6" thickBot="1">
      <c r="A135" s="55"/>
      <c r="B135" s="3"/>
      <c r="C135" s="171"/>
      <c r="D135" s="131"/>
      <c r="E135" s="4" t="s">
        <v>0</v>
      </c>
      <c r="F135" s="131"/>
      <c r="G135" s="131"/>
      <c r="H135" s="131"/>
      <c r="I135" s="131"/>
      <c r="J135" s="131"/>
      <c r="K135" s="1"/>
      <c r="L135" s="174"/>
      <c r="M135" s="325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</row>
    <row r="136" spans="1:40" ht="16.5" customHeight="1">
      <c r="A136" s="55">
        <f>+A122+1</f>
        <v>96</v>
      </c>
      <c r="B136" s="3"/>
      <c r="C136" s="2" t="s">
        <v>71</v>
      </c>
      <c r="D136" s="131"/>
      <c r="E136" s="1" t="s">
        <v>372</v>
      </c>
      <c r="F136" s="1"/>
      <c r="G136" s="1"/>
      <c r="H136" s="1"/>
      <c r="I136" s="1"/>
      <c r="J136" s="1">
        <f>E16+E17+E18</f>
        <v>305302506.40333331</v>
      </c>
      <c r="K136" s="1"/>
      <c r="L136" s="174"/>
      <c r="M136" s="325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</row>
    <row r="137" spans="1:40" ht="15.6">
      <c r="A137" s="55">
        <f>+A136+1</f>
        <v>97</v>
      </c>
      <c r="B137" s="3"/>
      <c r="C137" s="2" t="s">
        <v>52</v>
      </c>
      <c r="D137" s="3"/>
      <c r="E137" s="3" t="s">
        <v>120</v>
      </c>
      <c r="F137" s="3"/>
      <c r="G137" s="3"/>
      <c r="H137" s="3"/>
      <c r="I137" s="3"/>
      <c r="J137" s="267">
        <v>42807119.756921023</v>
      </c>
      <c r="K137" s="1"/>
      <c r="L137" s="174"/>
      <c r="M137" s="32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</row>
    <row r="138" spans="1:40" ht="15.6" thickBot="1">
      <c r="A138" s="55">
        <f t="shared" ref="A138:A199" si="3">+A137+1</f>
        <v>98</v>
      </c>
      <c r="B138" s="3"/>
      <c r="C138" s="240" t="s">
        <v>53</v>
      </c>
      <c r="D138" s="210"/>
      <c r="E138" s="4" t="s">
        <v>120</v>
      </c>
      <c r="F138" s="1"/>
      <c r="G138" s="1"/>
      <c r="H138" s="211"/>
      <c r="I138" s="1"/>
      <c r="J138" s="4">
        <v>0</v>
      </c>
      <c r="K138" s="1"/>
      <c r="L138" s="174"/>
      <c r="M138" s="325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</row>
    <row r="139" spans="1:40">
      <c r="A139" s="55">
        <f t="shared" si="3"/>
        <v>99</v>
      </c>
      <c r="B139" s="3"/>
      <c r="C139" s="2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131"/>
      <c r="E139" s="1"/>
      <c r="F139" s="1"/>
      <c r="G139" s="1"/>
      <c r="H139" s="211"/>
      <c r="I139" s="1"/>
      <c r="J139" s="1">
        <f>J136-J137-J138</f>
        <v>262495386.64641228</v>
      </c>
      <c r="K139" s="1"/>
      <c r="L139" s="174"/>
      <c r="M139" s="325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</row>
    <row r="140" spans="1:40">
      <c r="A140" s="55">
        <f t="shared" si="3"/>
        <v>100</v>
      </c>
      <c r="B140" s="3"/>
      <c r="C140" s="2" t="str">
        <f>"Plus Common Use AC Facilities (line "&amp;A150&amp;")"</f>
        <v>Plus Common Use AC Facilities (line 110)</v>
      </c>
      <c r="D140" s="131"/>
      <c r="E140" s="1"/>
      <c r="F140" s="1"/>
      <c r="G140" s="1"/>
      <c r="H140" s="211"/>
      <c r="I140" s="1"/>
      <c r="J140" s="1">
        <f>+J150</f>
        <v>11076337.285</v>
      </c>
      <c r="K140" s="1"/>
      <c r="L140" s="174"/>
      <c r="M140" s="325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</row>
    <row r="141" spans="1:40">
      <c r="A141" s="55">
        <f t="shared" si="3"/>
        <v>101</v>
      </c>
      <c r="B141" s="3"/>
      <c r="C141" s="2" t="str">
        <f>"Total Gross Plant for the CUS System (line "&amp;A139&amp;" plus line "&amp;A140&amp;")"</f>
        <v>Total Gross Plant for the CUS System (line 99 plus line 100)</v>
      </c>
      <c r="D141" s="131"/>
      <c r="E141" s="1"/>
      <c r="F141" s="1"/>
      <c r="G141" s="1"/>
      <c r="H141" s="211"/>
      <c r="I141" s="1"/>
      <c r="J141" s="140">
        <f>SUM(J139:J140)</f>
        <v>273571723.93141228</v>
      </c>
      <c r="K141" s="1"/>
      <c r="L141" s="174"/>
      <c r="M141" s="325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</row>
    <row r="142" spans="1:40">
      <c r="A142" s="55">
        <f t="shared" si="3"/>
        <v>102</v>
      </c>
      <c r="B142" s="3"/>
      <c r="C142" s="2" t="str">
        <f>"Total CUS Plant (line "&amp;A136&amp;" plus line "&amp;A150&amp;")"</f>
        <v>Total CUS Plant (line 96 plus line 110)</v>
      </c>
      <c r="D142" s="131"/>
      <c r="E142" s="1"/>
      <c r="F142" s="1"/>
      <c r="G142" s="1"/>
      <c r="H142" s="211"/>
      <c r="I142" s="1"/>
      <c r="J142" s="195">
        <f>+J136+J150</f>
        <v>316378843.68833333</v>
      </c>
      <c r="K142" s="1"/>
      <c r="L142" s="174"/>
      <c r="M142" s="325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</row>
    <row r="143" spans="1:40">
      <c r="A143" s="55">
        <f t="shared" si="3"/>
        <v>103</v>
      </c>
      <c r="B143" s="3"/>
      <c r="C143" s="3"/>
      <c r="D143" s="131"/>
      <c r="E143" s="1"/>
      <c r="F143" s="1"/>
      <c r="G143" s="1"/>
      <c r="H143" s="211"/>
      <c r="I143" s="1"/>
      <c r="J143" s="3"/>
      <c r="K143" s="1"/>
      <c r="L143" s="174"/>
      <c r="M143" s="325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</row>
    <row r="144" spans="1:40">
      <c r="A144" s="55">
        <f t="shared" si="3"/>
        <v>104</v>
      </c>
      <c r="B144" s="3"/>
      <c r="C144" s="2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177"/>
      <c r="E144" s="212"/>
      <c r="F144" s="212"/>
      <c r="G144" s="212"/>
      <c r="H144" s="180"/>
      <c r="I144" s="1" t="s">
        <v>182</v>
      </c>
      <c r="J144" s="213">
        <f>ROUND(IF(J142&gt;0,J141/J142,0),6)</f>
        <v>0.86469700000000005</v>
      </c>
      <c r="K144" s="1"/>
      <c r="L144" s="174"/>
      <c r="M144" s="325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</row>
    <row r="145" spans="1:40">
      <c r="A145" s="55">
        <f t="shared" si="3"/>
        <v>105</v>
      </c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174"/>
      <c r="M145" s="325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</row>
    <row r="146" spans="1:40" ht="15.6" thickBot="1">
      <c r="A146" s="55">
        <f t="shared" si="3"/>
        <v>106</v>
      </c>
      <c r="B146" s="3"/>
      <c r="C146" s="171" t="s">
        <v>69</v>
      </c>
      <c r="D146" s="131"/>
      <c r="E146" s="4" t="s">
        <v>0</v>
      </c>
      <c r="F146" s="131"/>
      <c r="G146" s="131"/>
      <c r="H146" s="131"/>
      <c r="I146" s="131"/>
      <c r="J146" s="131"/>
      <c r="K146" s="3"/>
      <c r="L146" s="174"/>
      <c r="M146" s="325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</row>
    <row r="147" spans="1:40">
      <c r="A147" s="55">
        <f t="shared" si="3"/>
        <v>107</v>
      </c>
      <c r="B147" s="3"/>
      <c r="C147" s="2" t="s">
        <v>70</v>
      </c>
      <c r="D147" s="131"/>
      <c r="E147" s="1" t="str">
        <f>"Column (3) line "&amp;A19&amp;""</f>
        <v>Column (3) line 5</v>
      </c>
      <c r="F147" s="1"/>
      <c r="G147" s="1"/>
      <c r="H147" s="1"/>
      <c r="I147" s="1"/>
      <c r="J147" s="1">
        <f>+E19</f>
        <v>487693449.51000005</v>
      </c>
      <c r="K147" s="3"/>
      <c r="L147" s="174"/>
      <c r="M147" s="325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</row>
    <row r="148" spans="1:40">
      <c r="A148" s="55">
        <f t="shared" si="3"/>
        <v>108</v>
      </c>
      <c r="B148" s="3"/>
      <c r="C148" s="2" t="s">
        <v>73</v>
      </c>
      <c r="D148" s="3"/>
      <c r="E148" s="3" t="s">
        <v>120</v>
      </c>
      <c r="F148" s="3"/>
      <c r="G148" s="3"/>
      <c r="H148" s="3"/>
      <c r="I148" s="3"/>
      <c r="J148" s="259">
        <f>+J147-J150</f>
        <v>476617112.22500002</v>
      </c>
      <c r="K148" s="3"/>
      <c r="L148" s="174"/>
      <c r="M148" s="325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</row>
    <row r="149" spans="1:40" ht="15.6" thickBot="1">
      <c r="A149" s="55">
        <f t="shared" si="3"/>
        <v>109</v>
      </c>
      <c r="B149" s="3"/>
      <c r="C149" s="240" t="s">
        <v>74</v>
      </c>
      <c r="D149" s="210"/>
      <c r="E149" s="4" t="s">
        <v>120</v>
      </c>
      <c r="F149" s="1"/>
      <c r="G149" s="1"/>
      <c r="H149" s="211"/>
      <c r="I149" s="1"/>
      <c r="J149" s="4">
        <v>0</v>
      </c>
      <c r="K149" s="3"/>
      <c r="L149" s="174"/>
      <c r="M149" s="325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</row>
    <row r="150" spans="1:40" ht="15.6">
      <c r="A150" s="55">
        <f t="shared" si="3"/>
        <v>110</v>
      </c>
      <c r="B150" s="3"/>
      <c r="C150" s="2" t="str">
        <f>"Common Use AC Facilities (line "&amp;A147&amp;" less lines "&amp;A148&amp;" &amp; "&amp;A149&amp;")"</f>
        <v>Common Use AC Facilities (line 107 less lines 108 &amp; 109)</v>
      </c>
      <c r="D150" s="131"/>
      <c r="E150" s="1"/>
      <c r="F150" s="1"/>
      <c r="G150" s="1"/>
      <c r="H150" s="211"/>
      <c r="I150" s="1"/>
      <c r="J150" s="254">
        <v>11076337.285</v>
      </c>
      <c r="K150" s="3"/>
      <c r="L150" s="174"/>
      <c r="M150" s="32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</row>
    <row r="151" spans="1:40">
      <c r="A151" s="55">
        <f t="shared" si="3"/>
        <v>111</v>
      </c>
      <c r="B151" s="3"/>
      <c r="C151" s="3"/>
      <c r="D151" s="131"/>
      <c r="E151" s="1"/>
      <c r="F151" s="1"/>
      <c r="G151" s="1"/>
      <c r="H151" s="211"/>
      <c r="I151" s="1"/>
      <c r="J151" s="3"/>
      <c r="K151" s="3"/>
      <c r="L151" s="174"/>
      <c r="M151" s="325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</row>
    <row r="152" spans="1:40">
      <c r="A152" s="55">
        <f t="shared" si="3"/>
        <v>112</v>
      </c>
      <c r="B152" s="3"/>
      <c r="C152" s="2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177"/>
      <c r="E152" s="212"/>
      <c r="F152" s="212"/>
      <c r="G152" s="212"/>
      <c r="H152" s="180"/>
      <c r="I152" s="1" t="s">
        <v>72</v>
      </c>
      <c r="J152" s="213">
        <f>ROUND(IF(J147&gt;0,J150/J147,0),6)</f>
        <v>2.2712E-2</v>
      </c>
      <c r="K152" s="3"/>
      <c r="L152" s="174"/>
      <c r="M152" s="325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</row>
    <row r="153" spans="1:40">
      <c r="A153" s="55">
        <f t="shared" si="3"/>
        <v>113</v>
      </c>
      <c r="B153" s="3"/>
      <c r="C153" s="3"/>
      <c r="D153" s="131"/>
      <c r="E153" s="1"/>
      <c r="F153" s="1"/>
      <c r="G153" s="1"/>
      <c r="H153" s="211"/>
      <c r="I153" s="1"/>
      <c r="J153" s="3"/>
      <c r="K153" s="3"/>
      <c r="L153" s="174"/>
      <c r="M153" s="325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</row>
    <row r="154" spans="1:40" ht="15.6" thickBot="1">
      <c r="A154" s="55">
        <f t="shared" si="3"/>
        <v>114</v>
      </c>
      <c r="B154" s="3"/>
      <c r="C154" s="171" t="s">
        <v>160</v>
      </c>
      <c r="D154" s="131"/>
      <c r="E154" s="4" t="s">
        <v>0</v>
      </c>
      <c r="F154" s="1"/>
      <c r="G154" s="1"/>
      <c r="H154" s="211"/>
      <c r="I154" s="1"/>
      <c r="J154" s="1"/>
      <c r="K154" s="3"/>
      <c r="L154" s="174"/>
      <c r="M154" s="325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</row>
    <row r="155" spans="1:40">
      <c r="A155" s="55">
        <f t="shared" si="3"/>
        <v>115</v>
      </c>
      <c r="B155" s="3"/>
      <c r="C155" s="3" t="s">
        <v>44</v>
      </c>
      <c r="D155" s="131"/>
      <c r="E155" s="1" t="s">
        <v>373</v>
      </c>
      <c r="F155" s="1"/>
      <c r="G155" s="1"/>
      <c r="H155" s="211"/>
      <c r="I155" s="1"/>
      <c r="J155" s="1">
        <f>SUM(E28:E29)</f>
        <v>58441578.132952802</v>
      </c>
      <c r="K155" s="3"/>
      <c r="L155" s="174"/>
      <c r="M155" s="325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</row>
    <row r="156" spans="1:40" ht="15.6">
      <c r="A156" s="55">
        <f t="shared" si="3"/>
        <v>116</v>
      </c>
      <c r="B156" s="3"/>
      <c r="C156" s="2" t="s">
        <v>312</v>
      </c>
      <c r="D156" s="131"/>
      <c r="E156" s="1" t="s">
        <v>120</v>
      </c>
      <c r="F156" s="1"/>
      <c r="G156" s="1"/>
      <c r="H156" s="211"/>
      <c r="I156" s="1"/>
      <c r="J156" s="267">
        <v>9228172.4719255492</v>
      </c>
      <c r="K156" s="3"/>
      <c r="L156" s="174"/>
      <c r="M156" s="32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</row>
    <row r="157" spans="1:40">
      <c r="A157" s="55">
        <f t="shared" si="3"/>
        <v>117</v>
      </c>
      <c r="B157" s="3"/>
      <c r="C157" s="241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214"/>
      <c r="E157" s="140"/>
      <c r="F157" s="1"/>
      <c r="G157" s="1"/>
      <c r="H157" s="211"/>
      <c r="I157" s="1"/>
      <c r="J157" s="140">
        <f>J155-J156</f>
        <v>49213405.661027253</v>
      </c>
      <c r="K157" s="3"/>
      <c r="L157" s="174"/>
      <c r="M157" s="325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</row>
    <row r="158" spans="1:40">
      <c r="A158" s="55">
        <f t="shared" si="3"/>
        <v>118</v>
      </c>
      <c r="B158" s="3"/>
      <c r="C158" s="2" t="str">
        <f>"Plus Common Use AC Facilities Accumulated Depreciation (line "&amp;A167&amp;")"</f>
        <v>Plus Common Use AC Facilities Accumulated Depreciation (line 127)</v>
      </c>
      <c r="D158" s="215"/>
      <c r="E158" s="195"/>
      <c r="F158" s="1"/>
      <c r="G158" s="1"/>
      <c r="H158" s="211"/>
      <c r="I158" s="1"/>
      <c r="J158" s="195">
        <f>+J167</f>
        <v>4265151.92</v>
      </c>
      <c r="K158" s="3"/>
      <c r="L158" s="174"/>
      <c r="M158" s="325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</row>
    <row r="159" spans="1:40">
      <c r="A159" s="55">
        <f t="shared" si="3"/>
        <v>119</v>
      </c>
      <c r="B159" s="3"/>
      <c r="C159" s="2" t="str">
        <f>"Total Accumulated Depreciation for the CUS System (line "&amp;A157&amp;" plus line "&amp;A158&amp;")"</f>
        <v>Total Accumulated Depreciation for the CUS System (line 117 plus line 118)</v>
      </c>
      <c r="D159" s="215"/>
      <c r="E159" s="195"/>
      <c r="F159" s="1"/>
      <c r="G159" s="1"/>
      <c r="H159" s="211"/>
      <c r="I159" s="1"/>
      <c r="J159" s="140">
        <f>SUM(J157:J158)</f>
        <v>53478557.581027254</v>
      </c>
      <c r="K159" s="3"/>
      <c r="L159" s="174"/>
      <c r="M159" s="325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</row>
    <row r="160" spans="1:40">
      <c r="A160" s="55">
        <f t="shared" si="3"/>
        <v>120</v>
      </c>
      <c r="B160" s="3"/>
      <c r="C160" s="2" t="str">
        <f>"Total CUS Accumulated Depreciation (line "&amp;A155&amp;" plus line "&amp;A158&amp;")"</f>
        <v>Total CUS Accumulated Depreciation (line 115 plus line 118)</v>
      </c>
      <c r="D160" s="215"/>
      <c r="E160" s="195"/>
      <c r="F160" s="1"/>
      <c r="G160" s="1"/>
      <c r="H160" s="211"/>
      <c r="I160" s="1"/>
      <c r="J160" s="195">
        <f>+J155+J158</f>
        <v>62706730.052952804</v>
      </c>
      <c r="K160" s="3"/>
      <c r="L160" s="174"/>
      <c r="M160" s="325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</row>
    <row r="161" spans="1:40">
      <c r="A161" s="55">
        <f t="shared" si="3"/>
        <v>121</v>
      </c>
      <c r="B161" s="3"/>
      <c r="C161" s="3"/>
      <c r="D161" s="131"/>
      <c r="E161" s="1"/>
      <c r="F161" s="1"/>
      <c r="G161" s="1"/>
      <c r="H161" s="211"/>
      <c r="I161" s="1"/>
      <c r="J161" s="1"/>
      <c r="K161" s="3"/>
      <c r="L161" s="174"/>
      <c r="M161" s="325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</row>
    <row r="162" spans="1:40">
      <c r="A162" s="55">
        <f t="shared" si="3"/>
        <v>122</v>
      </c>
      <c r="B162" s="3"/>
      <c r="C162" s="2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131"/>
      <c r="E162" s="1"/>
      <c r="F162" s="1"/>
      <c r="G162" s="1"/>
      <c r="H162" s="211"/>
      <c r="I162" s="1" t="s">
        <v>45</v>
      </c>
      <c r="J162" s="213">
        <f>ROUND(IF(J160&gt;0,J159/J160,0),6)</f>
        <v>0.85283600000000004</v>
      </c>
      <c r="K162" s="3"/>
      <c r="L162" s="174"/>
      <c r="M162" s="325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</row>
    <row r="163" spans="1:40">
      <c r="A163" s="55">
        <f t="shared" si="3"/>
        <v>123</v>
      </c>
      <c r="B163" s="3"/>
      <c r="C163" s="3"/>
      <c r="D163" s="131"/>
      <c r="E163" s="1"/>
      <c r="F163" s="1"/>
      <c r="G163" s="1"/>
      <c r="H163" s="211"/>
      <c r="I163" s="1"/>
      <c r="J163" s="1"/>
      <c r="K163" s="3"/>
      <c r="L163" s="174"/>
      <c r="M163" s="325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</row>
    <row r="164" spans="1:40" ht="15.6" thickBot="1">
      <c r="A164" s="55">
        <f t="shared" si="3"/>
        <v>124</v>
      </c>
      <c r="B164" s="3"/>
      <c r="C164" s="3"/>
      <c r="D164" s="131"/>
      <c r="E164" s="4" t="s">
        <v>0</v>
      </c>
      <c r="F164" s="1"/>
      <c r="G164" s="1"/>
      <c r="H164" s="211"/>
      <c r="I164" s="1"/>
      <c r="J164" s="1"/>
      <c r="K164" s="3"/>
      <c r="L164" s="174"/>
      <c r="M164" s="325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</row>
    <row r="165" spans="1:40">
      <c r="A165" s="55">
        <f t="shared" si="3"/>
        <v>125</v>
      </c>
      <c r="B165" s="3"/>
      <c r="C165" s="3" t="s">
        <v>47</v>
      </c>
      <c r="D165" s="131"/>
      <c r="E165" s="1" t="s">
        <v>87</v>
      </c>
      <c r="F165" s="1"/>
      <c r="G165" s="1"/>
      <c r="H165" s="211"/>
      <c r="I165" s="1"/>
      <c r="J165" s="1">
        <f>+E30</f>
        <v>159225519.84756005</v>
      </c>
      <c r="K165" s="3"/>
      <c r="L165" s="174"/>
      <c r="M165" s="325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</row>
    <row r="166" spans="1:40">
      <c r="A166" s="55">
        <f t="shared" si="3"/>
        <v>126</v>
      </c>
      <c r="B166" s="3"/>
      <c r="C166" s="3" t="s">
        <v>121</v>
      </c>
      <c r="D166" s="131"/>
      <c r="E166" s="1"/>
      <c r="F166" s="1"/>
      <c r="G166" s="1"/>
      <c r="H166" s="211"/>
      <c r="I166" s="1"/>
      <c r="J166" s="259">
        <f>+J165-J167</f>
        <v>154960367.92756006</v>
      </c>
      <c r="K166" s="3"/>
      <c r="L166" s="174"/>
      <c r="M166" s="325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</row>
    <row r="167" spans="1:40" ht="15.6">
      <c r="A167" s="55">
        <f t="shared" si="3"/>
        <v>127</v>
      </c>
      <c r="B167" s="3"/>
      <c r="C167" s="242" t="str">
        <f>"Common Use AC Facilities (line "&amp;A165&amp;" less line "&amp;A166&amp;")"</f>
        <v>Common Use AC Facilities (line 125 less line 126)</v>
      </c>
      <c r="D167" s="214"/>
      <c r="E167" s="140"/>
      <c r="F167" s="1"/>
      <c r="G167" s="1"/>
      <c r="H167" s="211"/>
      <c r="I167" s="1"/>
      <c r="J167" s="268">
        <v>4265151.92</v>
      </c>
      <c r="K167" s="3"/>
      <c r="L167" s="174"/>
      <c r="M167" s="32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</row>
    <row r="168" spans="1:40">
      <c r="A168" s="55">
        <f t="shared" si="3"/>
        <v>128</v>
      </c>
      <c r="B168" s="3"/>
      <c r="C168" s="3"/>
      <c r="D168" s="131"/>
      <c r="E168" s="1"/>
      <c r="F168" s="1"/>
      <c r="G168" s="1"/>
      <c r="H168" s="211"/>
      <c r="I168" s="1"/>
      <c r="J168" s="1"/>
      <c r="K168" s="3"/>
      <c r="L168" s="174"/>
      <c r="M168" s="325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</row>
    <row r="169" spans="1:40">
      <c r="A169" s="55">
        <f t="shared" si="3"/>
        <v>129</v>
      </c>
      <c r="B169" s="3"/>
      <c r="C169" s="2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131"/>
      <c r="E169" s="1"/>
      <c r="F169" s="1"/>
      <c r="G169" s="1"/>
      <c r="H169" s="211"/>
      <c r="I169" s="1" t="s">
        <v>48</v>
      </c>
      <c r="J169" s="213">
        <f>ROUND(IF(J165&gt;0,J167/J165,0),6)</f>
        <v>2.6786999999999998E-2</v>
      </c>
      <c r="K169" s="3"/>
      <c r="L169" s="174"/>
      <c r="M169" s="325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</row>
    <row r="170" spans="1:40">
      <c r="A170" s="55">
        <f t="shared" si="3"/>
        <v>130</v>
      </c>
      <c r="B170" s="3"/>
      <c r="C170" s="3"/>
      <c r="D170" s="131"/>
      <c r="E170" s="1"/>
      <c r="F170" s="1"/>
      <c r="G170" s="1"/>
      <c r="H170" s="211"/>
      <c r="I170" s="1"/>
      <c r="J170" s="1"/>
      <c r="K170" s="3"/>
      <c r="L170" s="174"/>
      <c r="M170" s="325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</row>
    <row r="171" spans="1:40">
      <c r="A171" s="55">
        <f t="shared" si="3"/>
        <v>131</v>
      </c>
      <c r="B171" s="3"/>
      <c r="C171" s="170" t="s">
        <v>183</v>
      </c>
      <c r="D171" s="1"/>
      <c r="E171" s="1"/>
      <c r="F171" s="1"/>
      <c r="G171" s="1"/>
      <c r="H171" s="1"/>
      <c r="I171" s="1"/>
      <c r="J171" s="1"/>
      <c r="K171" s="1"/>
      <c r="L171" s="174"/>
      <c r="M171" s="325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</row>
    <row r="172" spans="1:40" ht="15.6" thickBot="1">
      <c r="A172" s="55">
        <f t="shared" si="3"/>
        <v>132</v>
      </c>
      <c r="B172" s="3"/>
      <c r="C172" s="170"/>
      <c r="D172" s="4" t="s">
        <v>184</v>
      </c>
      <c r="E172" s="216" t="s">
        <v>185</v>
      </c>
      <c r="F172" s="216" t="s">
        <v>138</v>
      </c>
      <c r="G172" s="1"/>
      <c r="H172" s="216" t="s">
        <v>186</v>
      </c>
      <c r="I172" s="195"/>
      <c r="J172" s="217"/>
      <c r="K172" s="1"/>
      <c r="L172" s="174"/>
      <c r="M172" s="325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</row>
    <row r="173" spans="1:40" ht="15.6">
      <c r="A173" s="55">
        <f t="shared" si="3"/>
        <v>133</v>
      </c>
      <c r="B173" s="3"/>
      <c r="C173" s="170" t="s">
        <v>153</v>
      </c>
      <c r="D173" s="1" t="s">
        <v>91</v>
      </c>
      <c r="E173" s="256">
        <v>1819692.8</v>
      </c>
      <c r="F173" s="243">
        <f>+J144</f>
        <v>0.86469700000000005</v>
      </c>
      <c r="G173" s="3"/>
      <c r="H173" s="1">
        <f>E173*F173</f>
        <v>1573482.9050816002</v>
      </c>
      <c r="I173" s="195"/>
      <c r="J173" s="218"/>
      <c r="K173" s="1"/>
      <c r="L173" s="174"/>
      <c r="M173" s="32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</row>
    <row r="174" spans="1:40" ht="15.6">
      <c r="A174" s="55">
        <f t="shared" si="3"/>
        <v>134</v>
      </c>
      <c r="B174" s="3"/>
      <c r="C174" s="170" t="s">
        <v>105</v>
      </c>
      <c r="D174" s="1" t="s">
        <v>106</v>
      </c>
      <c r="E174" s="256">
        <v>27262764</v>
      </c>
      <c r="F174" s="243">
        <v>0</v>
      </c>
      <c r="G174" s="243"/>
      <c r="H174" s="1">
        <f>E174*F174</f>
        <v>0</v>
      </c>
      <c r="I174" s="195"/>
      <c r="J174" s="217" t="s">
        <v>187</v>
      </c>
      <c r="K174" s="1"/>
      <c r="L174" s="174"/>
      <c r="M174" s="32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</row>
    <row r="175" spans="1:40" ht="16.2" thickBot="1">
      <c r="A175" s="55">
        <f t="shared" si="3"/>
        <v>135</v>
      </c>
      <c r="B175" s="3"/>
      <c r="C175" s="170" t="s">
        <v>107</v>
      </c>
      <c r="D175" s="1" t="s">
        <v>108</v>
      </c>
      <c r="E175" s="265">
        <v>-13681412</v>
      </c>
      <c r="F175" s="243">
        <v>0</v>
      </c>
      <c r="G175" s="243"/>
      <c r="H175" s="4">
        <f>E175*F175</f>
        <v>0</v>
      </c>
      <c r="I175" s="195"/>
      <c r="J175" s="186" t="s">
        <v>188</v>
      </c>
      <c r="K175" s="1"/>
      <c r="L175" s="174"/>
      <c r="M175" s="32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</row>
    <row r="176" spans="1:40">
      <c r="A176" s="55">
        <f t="shared" si="3"/>
        <v>136</v>
      </c>
      <c r="B176" s="3"/>
      <c r="C176" s="170" t="str">
        <f>"  Adjusted Total  (sum lines "&amp;A174&amp;"-"&amp;A175&amp;")"</f>
        <v xml:space="preserve">  Adjusted Total  (sum lines 134-135)</v>
      </c>
      <c r="D176" s="1"/>
      <c r="E176" s="1">
        <f>SUM(E174:E175)</f>
        <v>13581352</v>
      </c>
      <c r="F176" s="1"/>
      <c r="G176" s="3"/>
      <c r="H176" s="1">
        <f>SUM(H173:H175)</f>
        <v>1573482.9050816002</v>
      </c>
      <c r="I176" s="1" t="s">
        <v>58</v>
      </c>
      <c r="J176" s="188">
        <f>IF(E176&gt;0,+H176/E176,0)</f>
        <v>0.11585613163414071</v>
      </c>
      <c r="K176" s="211"/>
      <c r="L176" s="174"/>
      <c r="M176" s="325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</row>
    <row r="177" spans="1:40">
      <c r="A177" s="55">
        <f t="shared" si="3"/>
        <v>137</v>
      </c>
      <c r="B177" s="3"/>
      <c r="C177" s="170"/>
      <c r="D177" s="1"/>
      <c r="E177" s="1"/>
      <c r="F177" s="1"/>
      <c r="G177" s="1"/>
      <c r="H177" s="1"/>
      <c r="I177" s="1"/>
      <c r="J177" s="1"/>
      <c r="K177" s="1"/>
      <c r="L177" s="174"/>
      <c r="M177" s="325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</row>
    <row r="178" spans="1:40" ht="15.6" thickBot="1">
      <c r="A178" s="55">
        <f t="shared" si="3"/>
        <v>138</v>
      </c>
      <c r="B178" s="3"/>
      <c r="C178" s="170" t="s">
        <v>92</v>
      </c>
      <c r="D178" s="1"/>
      <c r="E178" s="216" t="s">
        <v>185</v>
      </c>
      <c r="F178" s="216" t="s">
        <v>192</v>
      </c>
      <c r="G178" s="192" t="s">
        <v>138</v>
      </c>
      <c r="H178" s="219" t="s">
        <v>95</v>
      </c>
      <c r="I178" s="204"/>
      <c r="J178" s="190"/>
      <c r="K178" s="3"/>
      <c r="L178" s="174"/>
      <c r="M178" s="325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</row>
    <row r="179" spans="1:40">
      <c r="A179" s="55">
        <f t="shared" si="3"/>
        <v>139</v>
      </c>
      <c r="B179" s="3"/>
      <c r="C179" s="170" t="s">
        <v>93</v>
      </c>
      <c r="D179" s="1" t="str">
        <f>"lines "&amp;A39&amp;", "&amp;A40&amp;" &amp; "&amp;A41&amp;""</f>
        <v>lines 25, 26 &amp; 27</v>
      </c>
      <c r="E179" s="1">
        <f>E39+E40+E41</f>
        <v>246860928.27038053</v>
      </c>
      <c r="F179" s="244">
        <f>IF(E181&gt;0,+E179/E181,0)</f>
        <v>0.42907795231645712</v>
      </c>
      <c r="G179" s="245">
        <f>+J144</f>
        <v>0.86469700000000005</v>
      </c>
      <c r="H179" s="246">
        <f>IF(F179&gt;0,+G179*F179,0)</f>
        <v>0.37102241813418352</v>
      </c>
      <c r="I179" s="247"/>
      <c r="J179" s="55"/>
      <c r="K179" s="1"/>
      <c r="L179" s="174"/>
      <c r="M179" s="325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</row>
    <row r="180" spans="1:40">
      <c r="A180" s="55">
        <f t="shared" si="3"/>
        <v>140</v>
      </c>
      <c r="B180" s="3"/>
      <c r="C180" s="170" t="s">
        <v>94</v>
      </c>
      <c r="D180" s="1" t="str">
        <f>"line "&amp;A42&amp;""</f>
        <v>line 28</v>
      </c>
      <c r="E180" s="1">
        <f>E42</f>
        <v>328467929.66244</v>
      </c>
      <c r="F180" s="244">
        <f>IF(E181&gt;0,+E180/E181,0)</f>
        <v>0.57092204768354282</v>
      </c>
      <c r="G180" s="3"/>
      <c r="H180" s="202"/>
      <c r="I180" s="211"/>
      <c r="J180" s="202"/>
      <c r="K180" s="204"/>
      <c r="L180" s="174"/>
      <c r="M180" s="325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</row>
    <row r="181" spans="1:40">
      <c r="A181" s="55">
        <f t="shared" si="3"/>
        <v>141</v>
      </c>
      <c r="B181" s="3"/>
      <c r="C181" s="170" t="str">
        <f>"  Total  (sum lines "&amp;A179&amp;" - "&amp;A180&amp;")"</f>
        <v xml:space="preserve">  Total  (sum lines 139 - 140)</v>
      </c>
      <c r="D181" s="1"/>
      <c r="E181" s="140">
        <f>SUM(E179:E180)</f>
        <v>575328857.93282056</v>
      </c>
      <c r="F181" s="248">
        <f>SUM(F179:F180)</f>
        <v>1</v>
      </c>
      <c r="G181" s="1"/>
      <c r="H181" s="1"/>
      <c r="I181" s="1" t="s">
        <v>96</v>
      </c>
      <c r="J181" s="220">
        <f>+H179</f>
        <v>0.37102241813418352</v>
      </c>
      <c r="K181" s="1"/>
      <c r="L181" s="174"/>
      <c r="M181" s="325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</row>
    <row r="182" spans="1:40">
      <c r="A182" s="55">
        <f t="shared" si="3"/>
        <v>142</v>
      </c>
      <c r="B182" s="3"/>
      <c r="C182" s="170"/>
      <c r="D182" s="1"/>
      <c r="E182" s="3"/>
      <c r="F182" s="1"/>
      <c r="G182" s="1"/>
      <c r="H182" s="1"/>
      <c r="I182" s="1"/>
      <c r="J182" s="220"/>
      <c r="K182" s="1"/>
      <c r="L182" s="174"/>
      <c r="M182" s="325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</row>
    <row r="183" spans="1:40" s="223" customFormat="1" ht="15.6" thickBot="1">
      <c r="A183" s="55">
        <f t="shared" si="3"/>
        <v>143</v>
      </c>
      <c r="B183" s="221"/>
      <c r="C183" s="222" t="s">
        <v>190</v>
      </c>
      <c r="D183" s="192" t="s">
        <v>184</v>
      </c>
      <c r="E183" s="1"/>
      <c r="F183" s="1"/>
      <c r="G183" s="1"/>
      <c r="H183" s="1"/>
      <c r="I183" s="1"/>
      <c r="J183" s="216" t="s">
        <v>185</v>
      </c>
      <c r="K183" s="1"/>
      <c r="L183" s="174"/>
      <c r="M183" s="327"/>
    </row>
    <row r="184" spans="1:40">
      <c r="A184" s="55">
        <f t="shared" si="3"/>
        <v>144</v>
      </c>
      <c r="B184" s="221"/>
      <c r="C184" s="131" t="s">
        <v>242</v>
      </c>
      <c r="D184" s="1" t="s">
        <v>327</v>
      </c>
      <c r="E184" s="1"/>
      <c r="F184" s="1"/>
      <c r="G184" s="1"/>
      <c r="H184" s="1"/>
      <c r="I184" s="1"/>
      <c r="J184" s="260">
        <v>20634667</v>
      </c>
      <c r="K184" s="1"/>
      <c r="L184" s="174"/>
      <c r="M184" s="325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</row>
    <row r="185" spans="1:40">
      <c r="A185" s="55">
        <f t="shared" si="3"/>
        <v>145</v>
      </c>
      <c r="B185" s="223"/>
      <c r="C185" s="170"/>
      <c r="D185" s="1"/>
      <c r="E185" s="1"/>
      <c r="F185" s="1"/>
      <c r="G185" s="1"/>
      <c r="H185" s="1"/>
      <c r="I185" s="1"/>
      <c r="J185" s="1"/>
      <c r="K185" s="1"/>
      <c r="L185" s="174"/>
      <c r="M185" s="325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</row>
    <row r="186" spans="1:40">
      <c r="A186" s="55">
        <f t="shared" si="3"/>
        <v>146</v>
      </c>
      <c r="B186" s="221"/>
      <c r="C186" s="170" t="s">
        <v>243</v>
      </c>
      <c r="D186" s="1" t="s">
        <v>244</v>
      </c>
      <c r="E186" s="1"/>
      <c r="F186" s="1"/>
      <c r="G186" s="1"/>
      <c r="H186" s="1"/>
      <c r="I186" s="1"/>
      <c r="J186" s="256">
        <v>0</v>
      </c>
      <c r="K186" s="1"/>
      <c r="L186" s="174"/>
      <c r="M186" s="325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</row>
    <row r="187" spans="1:40">
      <c r="A187" s="55">
        <f t="shared" si="3"/>
        <v>147</v>
      </c>
      <c r="B187" s="221"/>
      <c r="C187" s="170"/>
      <c r="D187" s="1"/>
      <c r="E187" s="1"/>
      <c r="F187" s="1"/>
      <c r="G187" s="1"/>
      <c r="H187" s="1"/>
      <c r="I187" s="1"/>
      <c r="J187" s="1"/>
      <c r="K187" s="1"/>
      <c r="L187" s="174"/>
      <c r="M187" s="325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</row>
    <row r="188" spans="1:40">
      <c r="A188" s="55">
        <f t="shared" si="3"/>
        <v>148</v>
      </c>
      <c r="B188" s="221"/>
      <c r="C188" s="222" t="s">
        <v>245</v>
      </c>
      <c r="D188" s="192" t="s">
        <v>184</v>
      </c>
      <c r="E188" s="1"/>
      <c r="F188" s="1"/>
      <c r="G188" s="1"/>
      <c r="H188" s="1"/>
      <c r="I188" s="1"/>
      <c r="J188" s="1"/>
      <c r="K188" s="1"/>
      <c r="L188" s="174"/>
      <c r="M188" s="325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</row>
    <row r="189" spans="1:40">
      <c r="A189" s="55">
        <f t="shared" si="3"/>
        <v>149</v>
      </c>
      <c r="B189" s="221"/>
      <c r="C189" s="170" t="s">
        <v>13</v>
      </c>
      <c r="D189" s="1" t="s">
        <v>246</v>
      </c>
      <c r="E189" s="131"/>
      <c r="F189" s="1"/>
      <c r="G189" s="1"/>
      <c r="H189" s="1"/>
      <c r="I189" s="1"/>
      <c r="J189" s="256">
        <v>511999388</v>
      </c>
      <c r="K189" s="1"/>
      <c r="L189" s="174"/>
      <c r="M189" s="325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</row>
    <row r="190" spans="1:40">
      <c r="A190" s="55">
        <f t="shared" si="3"/>
        <v>150</v>
      </c>
      <c r="B190" s="221"/>
      <c r="C190" s="170" t="s">
        <v>247</v>
      </c>
      <c r="D190" s="1" t="s">
        <v>248</v>
      </c>
      <c r="E190" s="1"/>
      <c r="F190" s="1"/>
      <c r="G190" s="1"/>
      <c r="H190" s="1"/>
      <c r="I190" s="1"/>
      <c r="J190" s="256">
        <v>0</v>
      </c>
      <c r="K190" s="1"/>
      <c r="L190" s="174"/>
      <c r="M190" s="325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</row>
    <row r="191" spans="1:40">
      <c r="A191" s="55">
        <f t="shared" si="3"/>
        <v>151</v>
      </c>
      <c r="B191" s="221"/>
      <c r="C191" s="170" t="s">
        <v>249</v>
      </c>
      <c r="D191" s="1" t="s">
        <v>250</v>
      </c>
      <c r="E191" s="1"/>
      <c r="F191" s="1"/>
      <c r="G191" s="1"/>
      <c r="H191" s="1"/>
      <c r="I191" s="1"/>
      <c r="J191" s="260">
        <v>0</v>
      </c>
      <c r="K191" s="1"/>
      <c r="L191" s="174"/>
      <c r="M191" s="325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</row>
    <row r="192" spans="1:40" ht="15.6" thickBot="1">
      <c r="A192" s="55">
        <f t="shared" si="3"/>
        <v>152</v>
      </c>
      <c r="B192" s="221"/>
      <c r="C192" s="170" t="s">
        <v>251</v>
      </c>
      <c r="D192" s="1" t="s">
        <v>252</v>
      </c>
      <c r="E192" s="1"/>
      <c r="F192" s="1"/>
      <c r="G192" s="1"/>
      <c r="H192" s="1"/>
      <c r="I192" s="1"/>
      <c r="J192" s="257">
        <v>1129057</v>
      </c>
      <c r="K192" s="1"/>
      <c r="L192" s="174"/>
      <c r="M192" s="325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</row>
    <row r="193" spans="1:40">
      <c r="A193" s="55">
        <f t="shared" si="3"/>
        <v>153</v>
      </c>
      <c r="B193" s="221"/>
      <c r="C193" s="249" t="s">
        <v>253</v>
      </c>
      <c r="D193" s="1"/>
      <c r="E193" s="131" t="str">
        <f>"(sum lines "&amp;A189&amp;"-"&amp;A192&amp;")"</f>
        <v>(sum lines 149-152)</v>
      </c>
      <c r="F193" s="131"/>
      <c r="G193" s="131"/>
      <c r="H193" s="131"/>
      <c r="I193" s="131"/>
      <c r="J193" s="65">
        <f>SUM(J189:J192)</f>
        <v>513128445</v>
      </c>
      <c r="K193" s="1"/>
      <c r="L193" s="174"/>
      <c r="M193" s="325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</row>
    <row r="194" spans="1:40">
      <c r="A194" s="55">
        <f t="shared" si="3"/>
        <v>154</v>
      </c>
      <c r="B194" s="3"/>
      <c r="C194" s="170"/>
      <c r="D194" s="1"/>
      <c r="E194" s="1"/>
      <c r="F194" s="1"/>
      <c r="G194" s="1"/>
      <c r="H194" s="211"/>
      <c r="I194" s="1"/>
      <c r="J194" s="1"/>
      <c r="K194" s="1"/>
      <c r="L194" s="174"/>
      <c r="M194" s="325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</row>
    <row r="195" spans="1:40" ht="15.6" thickBot="1">
      <c r="A195" s="55">
        <f t="shared" si="3"/>
        <v>155</v>
      </c>
      <c r="B195" s="3"/>
      <c r="C195" s="170"/>
      <c r="D195" s="4" t="s">
        <v>184</v>
      </c>
      <c r="E195" s="224" t="s">
        <v>185</v>
      </c>
      <c r="F195" s="186" t="s">
        <v>192</v>
      </c>
      <c r="G195" s="1"/>
      <c r="H195" s="186" t="s">
        <v>191</v>
      </c>
      <c r="I195" s="1"/>
      <c r="J195" s="186" t="s">
        <v>193</v>
      </c>
      <c r="K195" s="1"/>
      <c r="L195" s="174"/>
      <c r="M195" s="325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</row>
    <row r="196" spans="1:40" ht="15.6">
      <c r="A196" s="55">
        <f t="shared" si="3"/>
        <v>156</v>
      </c>
      <c r="B196" s="3"/>
      <c r="C196" s="171" t="s">
        <v>240</v>
      </c>
      <c r="D196" s="299" t="s">
        <v>301</v>
      </c>
      <c r="E196" s="254">
        <v>339926170</v>
      </c>
      <c r="F196" s="250">
        <v>0.43</v>
      </c>
      <c r="G196" s="251"/>
      <c r="H196" s="261">
        <f>IF(E196&gt;0,+J184/E196,0)</f>
        <v>6.0703378618951288E-2</v>
      </c>
      <c r="I196" s="3"/>
      <c r="J196" s="244">
        <f>H196*F196</f>
        <v>2.6102452806149052E-2</v>
      </c>
      <c r="K196" s="225"/>
      <c r="L196" s="174"/>
      <c r="M196" s="32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</row>
    <row r="197" spans="1:40">
      <c r="A197" s="55">
        <f t="shared" si="3"/>
        <v>157</v>
      </c>
      <c r="B197" s="3"/>
      <c r="C197" s="171" t="s">
        <v>241</v>
      </c>
      <c r="D197" s="185" t="s">
        <v>248</v>
      </c>
      <c r="E197" s="256">
        <v>0</v>
      </c>
      <c r="F197" s="250">
        <f>IF($E$199&gt;0,E197/$E$199,0)</f>
        <v>0</v>
      </c>
      <c r="G197" s="251"/>
      <c r="H197" s="244">
        <f>IF(E197&gt;0,J186/E197,0)</f>
        <v>0</v>
      </c>
      <c r="I197" s="3"/>
      <c r="J197" s="244">
        <f>H197*F197</f>
        <v>0</v>
      </c>
      <c r="K197" s="1"/>
      <c r="L197" s="174"/>
      <c r="M197" s="325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</row>
    <row r="198" spans="1:40" ht="15.6" thickBot="1">
      <c r="A198" s="55">
        <f t="shared" si="3"/>
        <v>158</v>
      </c>
      <c r="B198" s="3"/>
      <c r="C198" s="249" t="s">
        <v>254</v>
      </c>
      <c r="D198" s="185" t="str">
        <f>"(see above line "&amp;A193&amp;")"</f>
        <v>(see above line 153)</v>
      </c>
      <c r="E198" s="4">
        <f>+J193</f>
        <v>513128445</v>
      </c>
      <c r="F198" s="250">
        <v>0.56999999999999995</v>
      </c>
      <c r="G198" s="3" t="s">
        <v>122</v>
      </c>
      <c r="H198" s="244">
        <v>0.108</v>
      </c>
      <c r="I198" s="3" t="s">
        <v>122</v>
      </c>
      <c r="J198" s="252">
        <f>H198*F198</f>
        <v>6.1559999999999997E-2</v>
      </c>
      <c r="K198" s="1"/>
      <c r="L198" s="174"/>
      <c r="M198" s="325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</row>
    <row r="199" spans="1:40">
      <c r="A199" s="55">
        <f t="shared" si="3"/>
        <v>159</v>
      </c>
      <c r="B199" s="3"/>
      <c r="C199" s="170" t="str">
        <f>"Total  (sum lines "&amp;A196&amp;"-"&amp;A198&amp;")"</f>
        <v>Total  (sum lines 156-158)</v>
      </c>
      <c r="D199" s="3"/>
      <c r="E199" s="1">
        <f>E198+E197+E196</f>
        <v>853054615</v>
      </c>
      <c r="F199" s="1" t="s">
        <v>133</v>
      </c>
      <c r="G199" s="1"/>
      <c r="H199" s="1"/>
      <c r="I199" s="1" t="s">
        <v>270</v>
      </c>
      <c r="J199" s="244">
        <f>SUM(J196:J198)</f>
        <v>8.7662452806149052E-2</v>
      </c>
      <c r="K199" s="225"/>
      <c r="L199" s="174"/>
      <c r="M199" s="325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</row>
    <row r="200" spans="1:40">
      <c r="A200" s="55"/>
      <c r="B200" s="3"/>
      <c r="C200" s="170"/>
      <c r="D200" s="3"/>
      <c r="E200" s="1"/>
      <c r="F200" s="1"/>
      <c r="G200" s="1"/>
      <c r="H200" s="1"/>
      <c r="I200" s="139" t="s">
        <v>320</v>
      </c>
      <c r="J200" s="253">
        <f>J1</f>
        <v>44834</v>
      </c>
      <c r="K200" s="225"/>
      <c r="L200" s="174"/>
      <c r="M200" s="325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</row>
    <row r="201" spans="1:40">
      <c r="A201" s="3"/>
      <c r="B201" s="3"/>
      <c r="C201" s="3"/>
      <c r="D201" s="3"/>
      <c r="E201" s="3"/>
      <c r="F201" s="1"/>
      <c r="G201" s="1"/>
      <c r="I201" s="173" t="str">
        <f>$I$2</f>
        <v>Service Year</v>
      </c>
      <c r="J201" s="131">
        <f>$J$2</f>
        <v>2023</v>
      </c>
      <c r="L201" s="174"/>
      <c r="M201" s="325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</row>
    <row r="202" spans="1:40">
      <c r="A202" s="55"/>
      <c r="B202" s="3"/>
      <c r="C202" s="170"/>
      <c r="D202" s="131"/>
      <c r="E202" s="1"/>
      <c r="F202" s="1"/>
      <c r="G202" s="1"/>
      <c r="H202" s="1"/>
      <c r="I202" s="131"/>
      <c r="J202" s="1"/>
      <c r="K202" s="131"/>
      <c r="L202" s="174"/>
      <c r="M202" s="325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</row>
    <row r="203" spans="1:40" ht="15.6">
      <c r="A203" s="311" t="s">
        <v>238</v>
      </c>
      <c r="B203" s="311"/>
      <c r="C203" s="311"/>
      <c r="D203" s="311"/>
      <c r="E203" s="311"/>
      <c r="F203" s="311"/>
      <c r="G203" s="311"/>
      <c r="H203" s="311"/>
      <c r="I203" s="311"/>
      <c r="J203" s="311"/>
      <c r="K203" s="311"/>
      <c r="L203" s="174"/>
      <c r="M203" s="325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</row>
    <row r="204" spans="1:40" ht="15.6">
      <c r="A204" s="312" t="s">
        <v>134</v>
      </c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174"/>
      <c r="M204" s="325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</row>
    <row r="205" spans="1:40">
      <c r="A205" s="3"/>
      <c r="B205" s="3"/>
      <c r="C205" s="131"/>
      <c r="D205" s="131"/>
      <c r="F205" s="131"/>
      <c r="G205" s="131"/>
      <c r="H205" s="131"/>
      <c r="I205" s="131"/>
      <c r="J205" s="131"/>
      <c r="K205" s="131"/>
      <c r="L205" s="174"/>
      <c r="M205" s="325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</row>
    <row r="206" spans="1:40" ht="15.6">
      <c r="A206" s="310" t="s">
        <v>237</v>
      </c>
      <c r="B206" s="310"/>
      <c r="C206" s="310"/>
      <c r="D206" s="310"/>
      <c r="E206" s="310"/>
      <c r="F206" s="310"/>
      <c r="G206" s="310"/>
      <c r="H206" s="310"/>
      <c r="I206" s="310"/>
      <c r="J206" s="310"/>
      <c r="K206" s="310"/>
      <c r="L206" s="174"/>
      <c r="M206" s="325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</row>
    <row r="207" spans="1:40">
      <c r="A207" s="55"/>
      <c r="B207" s="2"/>
      <c r="C207" s="226"/>
      <c r="D207" s="55"/>
      <c r="E207" s="1"/>
      <c r="F207" s="1"/>
      <c r="G207" s="1"/>
      <c r="H207" s="1"/>
      <c r="I207" s="2"/>
      <c r="J207" s="227"/>
      <c r="K207" s="228"/>
      <c r="L207" s="174"/>
      <c r="M207" s="325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</row>
    <row r="208" spans="1:40">
      <c r="A208" s="55"/>
      <c r="B208" s="2"/>
      <c r="C208" s="171"/>
      <c r="D208" s="55"/>
      <c r="E208" s="1"/>
      <c r="F208" s="1"/>
      <c r="G208" s="1"/>
      <c r="H208" s="1"/>
      <c r="I208" s="2"/>
      <c r="J208" s="1"/>
      <c r="K208" s="2"/>
      <c r="L208" s="174"/>
      <c r="M208" s="325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</row>
    <row r="209" spans="1:40">
      <c r="A209" s="55" t="s">
        <v>194</v>
      </c>
      <c r="B209" s="2"/>
      <c r="C209" s="171"/>
      <c r="D209" s="2"/>
      <c r="E209" s="1"/>
      <c r="F209" s="1"/>
      <c r="G209" s="1"/>
      <c r="H209" s="1"/>
      <c r="I209" s="2"/>
      <c r="J209" s="1"/>
      <c r="K209" s="2"/>
      <c r="L209" s="174"/>
      <c r="M209" s="325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</row>
    <row r="210" spans="1:40" ht="15.6" thickBot="1">
      <c r="A210" s="186" t="s">
        <v>195</v>
      </c>
      <c r="B210" s="2"/>
      <c r="C210" s="171"/>
      <c r="D210" s="2"/>
      <c r="E210" s="1"/>
      <c r="F210" s="1"/>
      <c r="G210" s="1"/>
      <c r="H210" s="1"/>
      <c r="I210" s="2"/>
      <c r="J210" s="1"/>
      <c r="K210" s="2"/>
      <c r="L210" s="174"/>
      <c r="M210" s="325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</row>
    <row r="211" spans="1:40">
      <c r="A211" s="55"/>
      <c r="B211" s="2"/>
      <c r="C211" s="171"/>
      <c r="D211" s="2"/>
      <c r="E211" s="1"/>
      <c r="F211" s="1"/>
      <c r="G211" s="1"/>
      <c r="H211" s="1"/>
      <c r="I211" s="2"/>
      <c r="J211" s="1"/>
      <c r="K211" s="2"/>
      <c r="L211" s="174"/>
      <c r="M211" s="325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</row>
    <row r="212" spans="1:40">
      <c r="A212" s="3"/>
      <c r="B212" s="3"/>
      <c r="C212" s="3"/>
      <c r="D212" s="3"/>
      <c r="E212" s="3"/>
      <c r="F212" s="3"/>
      <c r="G212" s="3"/>
      <c r="H212" s="3"/>
      <c r="I212" s="3"/>
      <c r="J212" s="2"/>
      <c r="K212" s="2"/>
      <c r="L212" s="174"/>
      <c r="M212" s="325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</row>
    <row r="213" spans="1:40">
      <c r="A213" s="55" t="s">
        <v>196</v>
      </c>
      <c r="B213" s="2"/>
      <c r="C213" s="2" t="s">
        <v>272</v>
      </c>
      <c r="D213" s="2"/>
      <c r="E213" s="2"/>
      <c r="F213" s="2"/>
      <c r="G213" s="2"/>
      <c r="H213" s="2"/>
      <c r="I213" s="2"/>
      <c r="J213" s="2"/>
      <c r="K213" s="2"/>
      <c r="L213" s="174"/>
      <c r="M213" s="325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</row>
    <row r="214" spans="1:40">
      <c r="A214" s="55"/>
      <c r="B214" s="2"/>
      <c r="C214" s="2" t="s">
        <v>50</v>
      </c>
      <c r="D214" s="2"/>
      <c r="E214" s="2"/>
      <c r="F214" s="2"/>
      <c r="G214" s="2"/>
      <c r="H214" s="2"/>
      <c r="I214" s="2"/>
      <c r="J214" s="2"/>
      <c r="K214" s="2"/>
      <c r="L214" s="174"/>
      <c r="M214" s="325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</row>
    <row r="215" spans="1:40">
      <c r="A215" s="55"/>
      <c r="B215" s="2"/>
      <c r="C215" s="2" t="s">
        <v>78</v>
      </c>
      <c r="D215" s="2"/>
      <c r="E215" s="2"/>
      <c r="F215" s="2"/>
      <c r="G215" s="2"/>
      <c r="H215" s="2"/>
      <c r="I215" s="2"/>
      <c r="J215" s="2"/>
      <c r="K215" s="2"/>
      <c r="L215" s="174"/>
      <c r="M215" s="325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</row>
    <row r="216" spans="1:40">
      <c r="A216" s="55" t="s">
        <v>197</v>
      </c>
      <c r="B216" s="2"/>
      <c r="C216" s="2" t="s">
        <v>203</v>
      </c>
      <c r="D216" s="2"/>
      <c r="E216" s="2"/>
      <c r="F216" s="2"/>
      <c r="G216" s="2"/>
      <c r="H216" s="2"/>
      <c r="I216" s="2"/>
      <c r="J216" s="2"/>
      <c r="K216" s="2"/>
      <c r="L216" s="174"/>
      <c r="M216" s="325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</row>
    <row r="217" spans="1:40">
      <c r="A217" s="55" t="s">
        <v>198</v>
      </c>
      <c r="B217" s="2"/>
      <c r="C217" s="2" t="s">
        <v>42</v>
      </c>
      <c r="D217" s="2"/>
      <c r="E217" s="2"/>
      <c r="F217" s="2"/>
      <c r="G217" s="2"/>
      <c r="H217" s="2"/>
      <c r="I217" s="2"/>
      <c r="J217" s="2"/>
      <c r="K217" s="2"/>
      <c r="L217" s="174"/>
      <c r="M217" s="325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</row>
    <row r="218" spans="1:40">
      <c r="A218" s="55" t="s">
        <v>199</v>
      </c>
      <c r="B218" s="2"/>
      <c r="C218" s="2" t="s">
        <v>51</v>
      </c>
      <c r="D218" s="2"/>
      <c r="E218" s="2"/>
      <c r="F218" s="2"/>
      <c r="G218" s="2"/>
      <c r="H218" s="2"/>
      <c r="I218" s="2"/>
      <c r="J218" s="2"/>
      <c r="K218" s="2"/>
      <c r="L218" s="174"/>
      <c r="M218" s="325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</row>
    <row r="219" spans="1:40">
      <c r="A219" s="55" t="s">
        <v>200</v>
      </c>
      <c r="B219" s="2"/>
      <c r="C219" s="2" t="s">
        <v>306</v>
      </c>
      <c r="D219" s="2"/>
      <c r="E219" s="2"/>
      <c r="F219" s="2"/>
      <c r="G219" s="2"/>
      <c r="H219" s="2"/>
      <c r="I219" s="2"/>
      <c r="J219" s="2"/>
      <c r="K219" s="2"/>
      <c r="L219" s="174"/>
      <c r="M219" s="325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</row>
    <row r="220" spans="1:40">
      <c r="A220" s="55"/>
      <c r="B220" s="2"/>
      <c r="C220" s="3" t="s">
        <v>100</v>
      </c>
      <c r="D220" s="2"/>
      <c r="E220" s="2"/>
      <c r="F220" s="2"/>
      <c r="G220" s="2"/>
      <c r="H220" s="2"/>
      <c r="I220" s="2"/>
      <c r="J220" s="2"/>
      <c r="K220" s="2"/>
      <c r="L220" s="174"/>
      <c r="M220" s="325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</row>
    <row r="221" spans="1:40">
      <c r="A221" s="55" t="s">
        <v>201</v>
      </c>
      <c r="B221" s="2"/>
      <c r="C221" s="2" t="s">
        <v>206</v>
      </c>
      <c r="D221" s="2"/>
      <c r="E221" s="2"/>
      <c r="F221" s="2"/>
      <c r="G221" s="2"/>
      <c r="H221" s="2"/>
      <c r="I221" s="2"/>
      <c r="J221" s="2"/>
      <c r="K221" s="2"/>
      <c r="L221" s="174"/>
      <c r="M221" s="325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</row>
    <row r="222" spans="1:40">
      <c r="A222" s="55"/>
      <c r="B222" s="2"/>
      <c r="C222" s="2" t="s">
        <v>132</v>
      </c>
      <c r="D222" s="2"/>
      <c r="E222" s="2"/>
      <c r="F222" s="2"/>
      <c r="G222" s="2"/>
      <c r="H222" s="2"/>
      <c r="I222" s="2"/>
      <c r="J222" s="2"/>
      <c r="K222" s="2"/>
      <c r="L222" s="174"/>
      <c r="M222" s="325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</row>
    <row r="223" spans="1:40">
      <c r="A223" s="55"/>
      <c r="B223" s="2"/>
      <c r="C223" s="2" t="s">
        <v>229</v>
      </c>
      <c r="D223" s="2"/>
      <c r="E223" s="2"/>
      <c r="F223" s="2"/>
      <c r="G223" s="2"/>
      <c r="H223" s="2"/>
      <c r="I223" s="2"/>
      <c r="J223" s="2"/>
      <c r="K223" s="2"/>
      <c r="L223" s="174"/>
      <c r="M223" s="325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174"/>
      <c r="AL223" s="174"/>
      <c r="AM223" s="174"/>
      <c r="AN223" s="174"/>
    </row>
    <row r="224" spans="1:40">
      <c r="A224" s="55" t="s">
        <v>202</v>
      </c>
      <c r="B224" s="2"/>
      <c r="C224" s="2" t="s">
        <v>213</v>
      </c>
      <c r="D224" s="2"/>
      <c r="E224" s="2"/>
      <c r="F224" s="2"/>
      <c r="G224" s="2"/>
      <c r="H224" s="2"/>
      <c r="I224" s="2"/>
      <c r="J224" s="2"/>
      <c r="K224" s="2"/>
      <c r="L224" s="174"/>
      <c r="M224" s="325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</row>
    <row r="225" spans="1:40">
      <c r="A225" s="55"/>
      <c r="B225" s="2"/>
      <c r="C225" s="2" t="s">
        <v>215</v>
      </c>
      <c r="D225" s="2"/>
      <c r="E225" s="2"/>
      <c r="F225" s="2"/>
      <c r="G225" s="2"/>
      <c r="H225" s="2"/>
      <c r="I225" s="2"/>
      <c r="J225" s="2"/>
      <c r="K225" s="2"/>
      <c r="L225" s="174"/>
      <c r="M225" s="325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74"/>
      <c r="AK225" s="174"/>
      <c r="AL225" s="174"/>
      <c r="AM225" s="174"/>
      <c r="AN225" s="174"/>
    </row>
    <row r="226" spans="1:40">
      <c r="A226" s="55"/>
      <c r="B226" s="2"/>
      <c r="C226" s="2" t="s">
        <v>216</v>
      </c>
      <c r="D226" s="2"/>
      <c r="E226" s="2"/>
      <c r="F226" s="2"/>
      <c r="G226" s="2"/>
      <c r="H226" s="2"/>
      <c r="I226" s="2"/>
      <c r="J226" s="2"/>
      <c r="K226" s="2"/>
      <c r="L226" s="174"/>
      <c r="M226" s="325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</row>
    <row r="227" spans="1:40">
      <c r="A227" s="55"/>
      <c r="B227" s="2"/>
      <c r="C227" s="2" t="s">
        <v>217</v>
      </c>
      <c r="D227" s="2"/>
      <c r="E227" s="2"/>
      <c r="F227" s="2"/>
      <c r="G227" s="2"/>
      <c r="H227" s="2"/>
      <c r="I227" s="2"/>
      <c r="J227" s="2"/>
      <c r="K227" s="2"/>
      <c r="L227" s="174"/>
      <c r="M227" s="325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174"/>
      <c r="AL227" s="174"/>
      <c r="AM227" s="174"/>
      <c r="AN227" s="174"/>
    </row>
    <row r="228" spans="1:40">
      <c r="A228" s="55"/>
      <c r="B228" s="2"/>
      <c r="C228" s="2" t="s">
        <v>218</v>
      </c>
      <c r="D228" s="2"/>
      <c r="E228" s="2"/>
      <c r="F228" s="2"/>
      <c r="G228" s="2"/>
      <c r="H228" s="2"/>
      <c r="I228" s="2"/>
      <c r="J228" s="2"/>
      <c r="K228" s="2"/>
      <c r="L228" s="174"/>
      <c r="M228" s="325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/>
      <c r="AM228" s="174"/>
      <c r="AN228" s="174"/>
    </row>
    <row r="229" spans="1:40">
      <c r="A229" s="55"/>
      <c r="B229" s="2"/>
      <c r="C229" s="2" t="s">
        <v>79</v>
      </c>
      <c r="D229" s="2"/>
      <c r="E229" s="2"/>
      <c r="F229" s="2"/>
      <c r="G229" s="2"/>
      <c r="H229" s="2"/>
      <c r="I229" s="2"/>
      <c r="J229" s="2"/>
      <c r="K229" s="2"/>
      <c r="L229" s="174"/>
      <c r="M229" s="325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</row>
    <row r="230" spans="1:40">
      <c r="A230" s="55" t="s">
        <v>133</v>
      </c>
      <c r="B230" s="2"/>
      <c r="C230" s="2" t="s">
        <v>226</v>
      </c>
      <c r="D230" s="2" t="s">
        <v>219</v>
      </c>
      <c r="E230" s="266">
        <v>0.21</v>
      </c>
      <c r="F230" s="2"/>
      <c r="G230" s="2"/>
      <c r="H230" s="2"/>
      <c r="I230" s="2"/>
      <c r="J230" s="2"/>
      <c r="K230" s="2"/>
      <c r="L230" s="174"/>
      <c r="M230" s="325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</row>
    <row r="231" spans="1:40">
      <c r="A231" s="55"/>
      <c r="B231" s="2"/>
      <c r="C231" s="2"/>
      <c r="D231" s="2" t="s">
        <v>220</v>
      </c>
      <c r="E231" s="229">
        <v>0</v>
      </c>
      <c r="F231" s="2" t="s">
        <v>221</v>
      </c>
      <c r="G231" s="2"/>
      <c r="H231" s="2"/>
      <c r="I231" s="2"/>
      <c r="J231" s="2"/>
      <c r="K231" s="2"/>
      <c r="L231" s="174"/>
      <c r="M231" s="325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  <c r="AJ231" s="174"/>
      <c r="AK231" s="174"/>
      <c r="AL231" s="174"/>
      <c r="AM231" s="174"/>
      <c r="AN231" s="174"/>
    </row>
    <row r="232" spans="1:40">
      <c r="A232" s="55"/>
      <c r="B232" s="2"/>
      <c r="C232" s="2"/>
      <c r="D232" s="2" t="s">
        <v>222</v>
      </c>
      <c r="E232" s="229">
        <v>0</v>
      </c>
      <c r="F232" s="2" t="s">
        <v>223</v>
      </c>
      <c r="G232" s="2"/>
      <c r="H232" s="2"/>
      <c r="I232" s="2"/>
      <c r="J232" s="2"/>
      <c r="K232" s="2"/>
      <c r="L232" s="174"/>
      <c r="M232" s="325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4"/>
      <c r="AK232" s="174"/>
      <c r="AL232" s="174"/>
      <c r="AM232" s="174"/>
      <c r="AN232" s="174"/>
    </row>
    <row r="233" spans="1:40">
      <c r="A233" s="230" t="s">
        <v>204</v>
      </c>
      <c r="B233" s="3"/>
      <c r="C233" s="3" t="s">
        <v>379</v>
      </c>
      <c r="D233" s="3"/>
      <c r="E233" s="3"/>
      <c r="F233" s="3"/>
      <c r="G233" s="3"/>
      <c r="H233" s="3"/>
      <c r="I233" s="3"/>
      <c r="J233" s="3"/>
      <c r="K233" s="3"/>
    </row>
    <row r="234" spans="1:40" ht="15" customHeight="1">
      <c r="A234" s="231" t="s">
        <v>205</v>
      </c>
      <c r="C234" s="171" t="s">
        <v>32</v>
      </c>
    </row>
    <row r="235" spans="1:40">
      <c r="C235" s="132" t="s">
        <v>379</v>
      </c>
    </row>
  </sheetData>
  <mergeCells count="13">
    <mergeCell ref="A4:K4"/>
    <mergeCell ref="A5:K5"/>
    <mergeCell ref="A7:K7"/>
    <mergeCell ref="A71:K71"/>
    <mergeCell ref="A72:K72"/>
    <mergeCell ref="A74:K74"/>
    <mergeCell ref="A203:K203"/>
    <mergeCell ref="A204:K204"/>
    <mergeCell ref="A206:K206"/>
    <mergeCell ref="A131:K131"/>
    <mergeCell ref="A126:K126"/>
    <mergeCell ref="A127:K127"/>
    <mergeCell ref="A129:K129"/>
  </mergeCells>
  <phoneticPr fontId="14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7" max="12" man="1"/>
    <brk id="123" max="10" man="1"/>
    <brk id="19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I115"/>
  <sheetViews>
    <sheetView zoomScale="90" zoomScaleNormal="90" workbookViewId="0">
      <selection activeCell="E42" sqref="E42"/>
    </sheetView>
  </sheetViews>
  <sheetFormatPr defaultColWidth="7.08984375" defaultRowHeight="13.2"/>
  <cols>
    <col min="1" max="1" width="3.453125" style="21" customWidth="1"/>
    <col min="2" max="2" width="4.08984375" style="21" customWidth="1"/>
    <col min="3" max="3" width="1.81640625" style="21" customWidth="1"/>
    <col min="4" max="4" width="44.81640625" style="24" customWidth="1"/>
    <col min="5" max="5" width="12.453125" style="24" bestFit="1" customWidth="1"/>
    <col min="6" max="6" width="10.81640625" style="21" customWidth="1"/>
    <col min="7" max="7" width="9.453125" style="21" customWidth="1"/>
    <col min="8" max="8" width="11.26953125" style="21" customWidth="1"/>
    <col min="9" max="16384" width="7.08984375" style="21"/>
  </cols>
  <sheetData>
    <row r="1" spans="2:9">
      <c r="F1" s="316" t="s">
        <v>342</v>
      </c>
      <c r="G1" s="316"/>
    </row>
    <row r="2" spans="2:9" ht="43.5" customHeight="1">
      <c r="B2" s="314" t="s">
        <v>341</v>
      </c>
      <c r="C2" s="315"/>
      <c r="D2" s="315"/>
      <c r="E2" s="315"/>
      <c r="F2" s="315"/>
      <c r="G2" s="315"/>
    </row>
    <row r="3" spans="2:9">
      <c r="D3" s="158"/>
      <c r="F3" s="157"/>
    </row>
    <row r="4" spans="2:9">
      <c r="B4" s="66" t="s">
        <v>135</v>
      </c>
    </row>
    <row r="5" spans="2:9">
      <c r="B5" s="67" t="s">
        <v>136</v>
      </c>
      <c r="F5" s="156" t="s">
        <v>340</v>
      </c>
    </row>
    <row r="6" spans="2:9">
      <c r="B6" s="22">
        <v>1</v>
      </c>
      <c r="C6" s="23" t="s">
        <v>339</v>
      </c>
      <c r="D6" s="25"/>
      <c r="E6" s="25"/>
      <c r="F6" s="305" t="s">
        <v>333</v>
      </c>
    </row>
    <row r="7" spans="2:9">
      <c r="B7" s="22">
        <f t="shared" ref="B7:B38" si="0">+B6+1</f>
        <v>2</v>
      </c>
      <c r="C7" s="25"/>
      <c r="D7" s="155">
        <v>44531</v>
      </c>
      <c r="E7" s="83"/>
      <c r="F7" s="30"/>
      <c r="I7" s="274"/>
    </row>
    <row r="8" spans="2:9">
      <c r="B8" s="22">
        <f t="shared" si="0"/>
        <v>3</v>
      </c>
      <c r="C8" s="25"/>
      <c r="D8" s="155">
        <v>44562</v>
      </c>
      <c r="E8" s="83"/>
      <c r="F8" s="30">
        <v>17490077</v>
      </c>
      <c r="I8" s="276"/>
    </row>
    <row r="9" spans="2:9">
      <c r="B9" s="22">
        <f t="shared" si="0"/>
        <v>4</v>
      </c>
      <c r="C9" s="25"/>
      <c r="D9" s="155">
        <v>44593</v>
      </c>
      <c r="E9" s="83"/>
      <c r="F9" s="30"/>
      <c r="I9" s="276"/>
    </row>
    <row r="10" spans="2:9">
      <c r="B10" s="22">
        <f t="shared" si="0"/>
        <v>5</v>
      </c>
      <c r="C10" s="25"/>
      <c r="D10" s="155">
        <v>44621</v>
      </c>
      <c r="E10" s="83"/>
      <c r="F10" s="30"/>
      <c r="I10" s="276"/>
    </row>
    <row r="11" spans="2:9">
      <c r="B11" s="22">
        <f t="shared" si="0"/>
        <v>6</v>
      </c>
      <c r="C11" s="25"/>
      <c r="D11" s="155">
        <v>44652</v>
      </c>
      <c r="E11" s="83"/>
      <c r="F11" s="30"/>
      <c r="I11" s="276"/>
    </row>
    <row r="12" spans="2:9" ht="12.75" customHeight="1">
      <c r="B12" s="22">
        <f t="shared" si="0"/>
        <v>7</v>
      </c>
      <c r="C12" s="25"/>
      <c r="D12" s="155">
        <v>44682</v>
      </c>
      <c r="E12" s="83"/>
      <c r="F12" s="30"/>
      <c r="I12" s="276"/>
    </row>
    <row r="13" spans="2:9">
      <c r="B13" s="22">
        <f t="shared" si="0"/>
        <v>8</v>
      </c>
      <c r="C13" s="23"/>
      <c r="D13" s="155">
        <v>44713</v>
      </c>
      <c r="E13" s="83"/>
      <c r="F13" s="30">
        <v>7878479</v>
      </c>
      <c r="I13" s="276"/>
    </row>
    <row r="14" spans="2:9">
      <c r="B14" s="22">
        <f t="shared" si="0"/>
        <v>9</v>
      </c>
      <c r="C14" s="25"/>
      <c r="D14" s="155">
        <v>44743</v>
      </c>
      <c r="E14" s="83"/>
      <c r="F14" s="30">
        <v>3292702</v>
      </c>
      <c r="I14" s="276"/>
    </row>
    <row r="15" spans="2:9">
      <c r="B15" s="22">
        <f t="shared" si="0"/>
        <v>10</v>
      </c>
      <c r="C15" s="25"/>
      <c r="D15" s="155">
        <v>44774</v>
      </c>
      <c r="E15" s="83"/>
      <c r="F15" s="30"/>
      <c r="I15" s="276"/>
    </row>
    <row r="16" spans="2:9">
      <c r="B16" s="22">
        <f t="shared" si="0"/>
        <v>11</v>
      </c>
      <c r="C16" s="25"/>
      <c r="D16" s="155">
        <v>44805</v>
      </c>
      <c r="E16" s="83"/>
      <c r="F16" s="30">
        <v>3126607</v>
      </c>
      <c r="I16" s="276"/>
    </row>
    <row r="17" spans="2:9">
      <c r="B17" s="22">
        <f t="shared" si="0"/>
        <v>12</v>
      </c>
      <c r="C17" s="25"/>
      <c r="D17" s="155">
        <v>44835</v>
      </c>
      <c r="E17" s="83"/>
      <c r="F17" s="30"/>
      <c r="I17" s="276"/>
    </row>
    <row r="18" spans="2:9">
      <c r="B18" s="22">
        <f t="shared" si="0"/>
        <v>13</v>
      </c>
      <c r="C18" s="25"/>
      <c r="D18" s="155">
        <v>44866</v>
      </c>
      <c r="E18" s="83"/>
      <c r="F18" s="30"/>
      <c r="I18" s="276"/>
    </row>
    <row r="19" spans="2:9">
      <c r="B19" s="22">
        <f t="shared" si="0"/>
        <v>14</v>
      </c>
      <c r="C19" s="25"/>
      <c r="D19" s="155">
        <v>44896</v>
      </c>
      <c r="E19" s="83"/>
      <c r="F19" s="30"/>
      <c r="G19" s="25"/>
      <c r="I19" s="276"/>
    </row>
    <row r="20" spans="2:9">
      <c r="B20" s="22">
        <f t="shared" si="0"/>
        <v>15</v>
      </c>
      <c r="C20" s="154" t="s">
        <v>388</v>
      </c>
      <c r="D20" s="21"/>
      <c r="E20" s="83"/>
      <c r="F20" s="148">
        <f>SUM(F7:F19)</f>
        <v>31787865</v>
      </c>
      <c r="G20" s="29"/>
      <c r="H20" s="29"/>
      <c r="I20" s="276"/>
    </row>
    <row r="21" spans="2:9">
      <c r="B21" s="22">
        <f t="shared" si="0"/>
        <v>16</v>
      </c>
      <c r="C21" s="25"/>
      <c r="D21" s="25" t="s">
        <v>338</v>
      </c>
      <c r="E21" s="25"/>
      <c r="F21" s="153">
        <f>'BHP WP5 Depreciation Rates'!H21</f>
        <v>2.3199999999999998E-2</v>
      </c>
      <c r="I21" s="276"/>
    </row>
    <row r="22" spans="2:9" ht="13.8" thickBot="1">
      <c r="B22" s="22">
        <f t="shared" si="0"/>
        <v>17</v>
      </c>
      <c r="C22" s="23" t="str">
        <f>"Annual Transmisison Depreciation Expense (line "&amp;B20&amp;" x line "&amp;B21&amp;")"</f>
        <v>Annual Transmisison Depreciation Expense (line 15 x line 16)</v>
      </c>
      <c r="D22" s="25"/>
      <c r="E22" s="25"/>
      <c r="F22" s="152">
        <f>+F20*F21</f>
        <v>737478.46799999999</v>
      </c>
      <c r="I22" s="276"/>
    </row>
    <row r="23" spans="2:9" ht="13.8" thickTop="1">
      <c r="B23" s="22">
        <f t="shared" si="0"/>
        <v>18</v>
      </c>
      <c r="C23" s="25"/>
      <c r="D23" s="149"/>
      <c r="E23" s="149"/>
    </row>
    <row r="24" spans="2:9">
      <c r="B24" s="22">
        <f t="shared" si="0"/>
        <v>19</v>
      </c>
      <c r="C24" s="25"/>
      <c r="D24" s="149"/>
      <c r="E24" s="151" t="s">
        <v>337</v>
      </c>
      <c r="F24" s="25" t="s">
        <v>336</v>
      </c>
    </row>
    <row r="25" spans="2:9">
      <c r="B25" s="22">
        <f t="shared" si="0"/>
        <v>20</v>
      </c>
      <c r="C25" s="23"/>
      <c r="E25" s="150" t="s">
        <v>335</v>
      </c>
      <c r="F25" s="66" t="s">
        <v>334</v>
      </c>
    </row>
    <row r="26" spans="2:9">
      <c r="B26" s="22">
        <f t="shared" si="0"/>
        <v>21</v>
      </c>
      <c r="C26" s="23" t="s">
        <v>389</v>
      </c>
      <c r="E26" s="150" t="s">
        <v>333</v>
      </c>
      <c r="F26" s="66" t="s">
        <v>332</v>
      </c>
      <c r="I26" s="276"/>
    </row>
    <row r="27" spans="2:9">
      <c r="B27" s="22">
        <f t="shared" si="0"/>
        <v>22</v>
      </c>
      <c r="F27" s="30"/>
    </row>
    <row r="28" spans="2:9">
      <c r="B28" s="22">
        <f t="shared" si="0"/>
        <v>23</v>
      </c>
      <c r="D28" s="145" t="s">
        <v>391</v>
      </c>
      <c r="E28" s="149">
        <f>Estimate!E16+F8</f>
        <v>272362679.56999999</v>
      </c>
      <c r="F28" s="30">
        <f>(+E28*$F$21)/12</f>
        <v>526567.84716866666</v>
      </c>
      <c r="I28" s="276"/>
    </row>
    <row r="29" spans="2:9">
      <c r="B29" s="22">
        <f t="shared" si="0"/>
        <v>24</v>
      </c>
      <c r="D29" s="147">
        <v>44593</v>
      </c>
      <c r="E29" s="143">
        <f>+E28+F9</f>
        <v>272362679.56999999</v>
      </c>
      <c r="F29" s="30">
        <f t="shared" ref="F29:F38" si="1">(+E29*$F$21)/12</f>
        <v>526567.84716866666</v>
      </c>
      <c r="I29" s="276"/>
    </row>
    <row r="30" spans="2:9">
      <c r="B30" s="22">
        <f t="shared" si="0"/>
        <v>25</v>
      </c>
      <c r="D30" s="147">
        <v>44621</v>
      </c>
      <c r="E30" s="143">
        <f>+E29+F10</f>
        <v>272362679.56999999</v>
      </c>
      <c r="F30" s="30">
        <f t="shared" si="1"/>
        <v>526567.84716866666</v>
      </c>
      <c r="I30" s="276"/>
    </row>
    <row r="31" spans="2:9">
      <c r="B31" s="22">
        <f t="shared" si="0"/>
        <v>26</v>
      </c>
      <c r="D31" s="147">
        <v>44652</v>
      </c>
      <c r="E31" s="143">
        <f>+E30+F11</f>
        <v>272362679.56999999</v>
      </c>
      <c r="F31" s="30">
        <f t="shared" si="1"/>
        <v>526567.84716866666</v>
      </c>
      <c r="I31" s="276"/>
    </row>
    <row r="32" spans="2:9">
      <c r="B32" s="22">
        <f t="shared" si="0"/>
        <v>27</v>
      </c>
      <c r="D32" s="147">
        <v>44682</v>
      </c>
      <c r="E32" s="143">
        <f t="shared" ref="E32:E37" si="2">+E31+F12</f>
        <v>272362679.56999999</v>
      </c>
      <c r="F32" s="30">
        <f t="shared" si="1"/>
        <v>526567.84716866666</v>
      </c>
      <c r="I32" s="276"/>
    </row>
    <row r="33" spans="2:9">
      <c r="B33" s="22">
        <f t="shared" si="0"/>
        <v>28</v>
      </c>
      <c r="D33" s="147">
        <v>44713</v>
      </c>
      <c r="E33" s="143">
        <f t="shared" si="2"/>
        <v>280241158.56999999</v>
      </c>
      <c r="F33" s="30">
        <f t="shared" si="1"/>
        <v>541799.57323533332</v>
      </c>
      <c r="I33" s="276"/>
    </row>
    <row r="34" spans="2:9">
      <c r="B34" s="22">
        <f t="shared" si="0"/>
        <v>29</v>
      </c>
      <c r="D34" s="147">
        <v>44743</v>
      </c>
      <c r="E34" s="143">
        <f t="shared" si="2"/>
        <v>283533860.56999999</v>
      </c>
      <c r="F34" s="30">
        <f t="shared" si="1"/>
        <v>548165.46376866661</v>
      </c>
      <c r="I34" s="276"/>
    </row>
    <row r="35" spans="2:9">
      <c r="B35" s="22">
        <f t="shared" si="0"/>
        <v>30</v>
      </c>
      <c r="D35" s="147">
        <v>44774</v>
      </c>
      <c r="E35" s="143">
        <f t="shared" si="2"/>
        <v>283533860.56999999</v>
      </c>
      <c r="F35" s="30">
        <f t="shared" si="1"/>
        <v>548165.46376866661</v>
      </c>
      <c r="I35" s="276"/>
    </row>
    <row r="36" spans="2:9">
      <c r="B36" s="22">
        <f t="shared" si="0"/>
        <v>31</v>
      </c>
      <c r="D36" s="147">
        <v>44805</v>
      </c>
      <c r="E36" s="143">
        <f t="shared" si="2"/>
        <v>286660467.56999999</v>
      </c>
      <c r="F36" s="30">
        <f t="shared" si="1"/>
        <v>554210.23730199994</v>
      </c>
      <c r="I36" s="276"/>
    </row>
    <row r="37" spans="2:9">
      <c r="B37" s="22">
        <f t="shared" si="0"/>
        <v>32</v>
      </c>
      <c r="D37" s="147">
        <v>44835</v>
      </c>
      <c r="E37" s="143">
        <f t="shared" si="2"/>
        <v>286660467.56999999</v>
      </c>
      <c r="F37" s="30">
        <f t="shared" si="1"/>
        <v>554210.23730199994</v>
      </c>
      <c r="I37" s="276"/>
    </row>
    <row r="38" spans="2:9">
      <c r="B38" s="22">
        <f t="shared" si="0"/>
        <v>33</v>
      </c>
      <c r="D38" s="147">
        <v>44866</v>
      </c>
      <c r="E38" s="143">
        <f>+E37+F18</f>
        <v>286660467.56999999</v>
      </c>
      <c r="F38" s="30">
        <f t="shared" si="1"/>
        <v>554210.23730199994</v>
      </c>
      <c r="I38" s="276"/>
    </row>
    <row r="39" spans="2:9">
      <c r="B39" s="22">
        <f t="shared" ref="B39:B62" si="3">+B38+1</f>
        <v>34</v>
      </c>
      <c r="D39" s="147">
        <v>44896</v>
      </c>
      <c r="E39" s="143">
        <f>+E38+F19</f>
        <v>286660467.56999999</v>
      </c>
      <c r="F39" s="30">
        <f>(+E39*$F$21)/12</f>
        <v>554210.23730199994</v>
      </c>
      <c r="I39" s="276"/>
    </row>
    <row r="40" spans="2:9">
      <c r="B40" s="22">
        <f t="shared" si="3"/>
        <v>35</v>
      </c>
      <c r="D40" s="145" t="s">
        <v>390</v>
      </c>
      <c r="E40" s="143"/>
      <c r="F40" s="148">
        <f>SUM(F28:F39)</f>
        <v>6487810.6858239993</v>
      </c>
    </row>
    <row r="41" spans="2:9">
      <c r="B41" s="22">
        <f t="shared" si="3"/>
        <v>36</v>
      </c>
      <c r="C41" s="25" t="s">
        <v>392</v>
      </c>
      <c r="D41" s="147"/>
      <c r="E41" s="143"/>
      <c r="F41" s="30"/>
    </row>
    <row r="42" spans="2:9">
      <c r="B42" s="22">
        <f t="shared" si="3"/>
        <v>37</v>
      </c>
      <c r="D42" s="169">
        <v>44927</v>
      </c>
      <c r="E42" s="143">
        <f>+E39+'BHP WP3 Capital Additions'!D10</f>
        <v>286660467.56999999</v>
      </c>
      <c r="F42" s="30">
        <f t="shared" ref="F42:F53" si="4">(+E42*$F$21)/12</f>
        <v>554210.23730199994</v>
      </c>
      <c r="G42" s="146"/>
      <c r="I42" s="276"/>
    </row>
    <row r="43" spans="2:9">
      <c r="B43" s="22">
        <f t="shared" si="3"/>
        <v>38</v>
      </c>
      <c r="D43" s="169">
        <v>44958</v>
      </c>
      <c r="E43" s="143">
        <f>+E42+'BHP WP3 Capital Additions'!D11</f>
        <v>286660467.56999999</v>
      </c>
      <c r="F43" s="30">
        <f t="shared" si="4"/>
        <v>554210.23730199994</v>
      </c>
      <c r="G43" s="146"/>
      <c r="I43" s="276"/>
    </row>
    <row r="44" spans="2:9">
      <c r="B44" s="22">
        <f t="shared" si="3"/>
        <v>39</v>
      </c>
      <c r="D44" s="169">
        <v>44986</v>
      </c>
      <c r="E44" s="143">
        <f>+E43+'BHP WP3 Capital Additions'!D12</f>
        <v>301981077.56999999</v>
      </c>
      <c r="F44" s="30">
        <f t="shared" si="4"/>
        <v>583830.08330199996</v>
      </c>
      <c r="G44" s="146"/>
      <c r="I44" s="276"/>
    </row>
    <row r="45" spans="2:9">
      <c r="B45" s="22">
        <f t="shared" si="3"/>
        <v>40</v>
      </c>
      <c r="D45" s="169">
        <v>45017</v>
      </c>
      <c r="E45" s="143">
        <f>+E44+'BHP WP3 Capital Additions'!D13</f>
        <v>301981077.56999999</v>
      </c>
      <c r="F45" s="30">
        <f t="shared" si="4"/>
        <v>583830.08330199996</v>
      </c>
      <c r="G45" s="146"/>
      <c r="I45" s="276"/>
    </row>
    <row r="46" spans="2:9">
      <c r="B46" s="22">
        <f t="shared" si="3"/>
        <v>41</v>
      </c>
      <c r="D46" s="169">
        <v>45047</v>
      </c>
      <c r="E46" s="143">
        <f>+E45+'BHP WP3 Capital Additions'!D14</f>
        <v>306527378.56999999</v>
      </c>
      <c r="F46" s="30">
        <f t="shared" si="4"/>
        <v>592619.59856866661</v>
      </c>
      <c r="G46" s="146"/>
      <c r="I46" s="276"/>
    </row>
    <row r="47" spans="2:9">
      <c r="B47" s="22">
        <f t="shared" si="3"/>
        <v>42</v>
      </c>
      <c r="D47" s="169">
        <v>45078</v>
      </c>
      <c r="E47" s="143">
        <f>+E46+'BHP WP3 Capital Additions'!D15</f>
        <v>313306057.56999999</v>
      </c>
      <c r="F47" s="30">
        <f t="shared" si="4"/>
        <v>605725.04463533324</v>
      </c>
      <c r="G47" s="146"/>
      <c r="I47" s="276"/>
    </row>
    <row r="48" spans="2:9">
      <c r="B48" s="22">
        <f t="shared" si="3"/>
        <v>43</v>
      </c>
      <c r="D48" s="169">
        <v>45108</v>
      </c>
      <c r="E48" s="143">
        <f>+E47+'BHP WP3 Capital Additions'!D16</f>
        <v>313306057.56999999</v>
      </c>
      <c r="F48" s="30">
        <f t="shared" si="4"/>
        <v>605725.04463533324</v>
      </c>
      <c r="G48" s="146"/>
      <c r="I48" s="276"/>
    </row>
    <row r="49" spans="2:9">
      <c r="B49" s="22">
        <f t="shared" si="3"/>
        <v>44</v>
      </c>
      <c r="D49" s="169">
        <v>45139</v>
      </c>
      <c r="E49" s="143">
        <f>+E48+'BHP WP3 Capital Additions'!D17</f>
        <v>313306057.56999999</v>
      </c>
      <c r="F49" s="30">
        <f t="shared" si="4"/>
        <v>605725.04463533324</v>
      </c>
      <c r="G49" s="146"/>
      <c r="I49" s="276"/>
    </row>
    <row r="50" spans="2:9">
      <c r="B50" s="22">
        <f t="shared" si="3"/>
        <v>45</v>
      </c>
      <c r="D50" s="169">
        <v>45170</v>
      </c>
      <c r="E50" s="143">
        <f>+E49+'BHP WP3 Capital Additions'!D18</f>
        <v>313306057.56999999</v>
      </c>
      <c r="F50" s="30">
        <f t="shared" si="4"/>
        <v>605725.04463533324</v>
      </c>
      <c r="G50" s="146"/>
      <c r="I50" s="276"/>
    </row>
    <row r="51" spans="2:9">
      <c r="B51" s="22">
        <f t="shared" si="3"/>
        <v>46</v>
      </c>
      <c r="D51" s="169">
        <v>45200</v>
      </c>
      <c r="E51" s="143">
        <f>+E50+'BHP WP3 Capital Additions'!D19</f>
        <v>313306057.56999999</v>
      </c>
      <c r="F51" s="30">
        <f t="shared" si="4"/>
        <v>605725.04463533324</v>
      </c>
      <c r="G51" s="146"/>
      <c r="I51" s="276"/>
    </row>
    <row r="52" spans="2:9">
      <c r="B52" s="22">
        <f t="shared" si="3"/>
        <v>47</v>
      </c>
      <c r="D52" s="169">
        <v>45231</v>
      </c>
      <c r="E52" s="143">
        <f>+E51+'BHP WP3 Capital Additions'!D20</f>
        <v>313306057.56999999</v>
      </c>
      <c r="F52" s="30">
        <f t="shared" si="4"/>
        <v>605725.04463533324</v>
      </c>
      <c r="G52" s="146"/>
      <c r="I52" s="276"/>
    </row>
    <row r="53" spans="2:9">
      <c r="B53" s="22">
        <f t="shared" si="3"/>
        <v>48</v>
      </c>
      <c r="D53" s="169">
        <v>45261</v>
      </c>
      <c r="E53" s="143">
        <f>+E52+'BHP WP3 Capital Additions'!D21</f>
        <v>313306057.56999999</v>
      </c>
      <c r="F53" s="30">
        <f t="shared" si="4"/>
        <v>605725.04463533324</v>
      </c>
      <c r="G53" s="146"/>
      <c r="I53" s="276"/>
    </row>
    <row r="54" spans="2:9">
      <c r="B54" s="22">
        <f t="shared" si="3"/>
        <v>49</v>
      </c>
      <c r="D54" s="145" t="str">
        <f>"Subtotal of 2023 Increase for Accumulated Depreciation (lines "&amp;B42&amp;"-"&amp;B53&amp;")"</f>
        <v>Subtotal of 2023 Increase for Accumulated Depreciation (lines 37-48)</v>
      </c>
      <c r="F54" s="144">
        <f>SUM(F42:F53)</f>
        <v>7108775.5522239991</v>
      </c>
      <c r="I54" s="276"/>
    </row>
    <row r="55" spans="2:9">
      <c r="B55" s="22">
        <f t="shared" si="3"/>
        <v>50</v>
      </c>
      <c r="D55" s="142" t="str">
        <f>"Average 2023 Impact for rate base consideration (line "&amp;B54&amp;" ÷ 2)"</f>
        <v>Average 2023 Impact for rate base consideration (line 49 ÷ 2)</v>
      </c>
      <c r="F55" s="143">
        <f>+F54/2</f>
        <v>3554387.7761119995</v>
      </c>
      <c r="I55" s="276"/>
    </row>
    <row r="56" spans="2:9">
      <c r="B56" s="22">
        <f t="shared" si="3"/>
        <v>51</v>
      </c>
    </row>
    <row r="57" spans="2:9" ht="13.8" thickBot="1">
      <c r="B57" s="22">
        <f t="shared" si="3"/>
        <v>52</v>
      </c>
      <c r="D57" s="142" t="str">
        <f>"Total Accumulated Depreciation for 2022 &amp; 2023 (lines "&amp;B40&amp;" + "&amp;B55&amp;")"</f>
        <v>Total Accumulated Depreciation for 2022 &amp; 2023 (lines 35 + 50)</v>
      </c>
      <c r="F57" s="141">
        <f>+F40+F55</f>
        <v>10042198.461935999</v>
      </c>
      <c r="I57" s="276"/>
    </row>
    <row r="58" spans="2:9" ht="13.8" thickTop="1">
      <c r="B58" s="22">
        <f t="shared" si="3"/>
        <v>53</v>
      </c>
    </row>
    <row r="59" spans="2:9" s="29" customFormat="1">
      <c r="B59" s="136">
        <f t="shared" si="3"/>
        <v>54</v>
      </c>
      <c r="D59" s="262" t="s">
        <v>402</v>
      </c>
      <c r="E59" s="262"/>
    </row>
    <row r="60" spans="2:9" s="29" customFormat="1">
      <c r="B60" s="136">
        <f t="shared" si="3"/>
        <v>55</v>
      </c>
      <c r="D60" s="262" t="s">
        <v>399</v>
      </c>
      <c r="E60" s="262"/>
    </row>
    <row r="61" spans="2:9" s="29" customFormat="1">
      <c r="B61" s="136">
        <f t="shared" si="3"/>
        <v>56</v>
      </c>
      <c r="D61" s="262" t="s">
        <v>400</v>
      </c>
      <c r="E61" s="262"/>
    </row>
    <row r="62" spans="2:9" s="29" customFormat="1">
      <c r="B62" s="136">
        <f t="shared" si="3"/>
        <v>57</v>
      </c>
      <c r="D62" s="262" t="s">
        <v>401</v>
      </c>
      <c r="E62" s="262"/>
    </row>
    <row r="63" spans="2:9">
      <c r="D63" s="262"/>
    </row>
    <row r="64" spans="2:9">
      <c r="D64" s="262"/>
    </row>
    <row r="114" spans="7:8">
      <c r="G114" s="21" t="s">
        <v>138</v>
      </c>
      <c r="H114" s="21">
        <f>+J183</f>
        <v>0</v>
      </c>
    </row>
    <row r="115" spans="7:8">
      <c r="H115" s="21">
        <f>+H114</f>
        <v>0</v>
      </c>
    </row>
  </sheetData>
  <mergeCells count="2">
    <mergeCell ref="B2:G2"/>
    <mergeCell ref="F1:G1"/>
  </mergeCells>
  <printOptions horizontalCentered="1"/>
  <pageMargins left="0.5" right="0.25" top="1" bottom="0.5" header="0.5" footer="0.5"/>
  <pageSetup scale="88" orientation="portrait" r:id="rId1"/>
  <headerFooter alignWithMargins="0">
    <oddHeader>&amp;C&amp;"Arial MT,Bold"ESTIMATED SERVICE YEAR ATRR
BLACK HILLS POWER, INC.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110"/>
  <sheetViews>
    <sheetView zoomScale="90" zoomScaleNormal="90" workbookViewId="0">
      <selection activeCell="E9" sqref="E9:E21"/>
    </sheetView>
  </sheetViews>
  <sheetFormatPr defaultColWidth="7.08984375" defaultRowHeight="13.2"/>
  <cols>
    <col min="1" max="1" width="3.54296875" style="21" customWidth="1"/>
    <col min="2" max="2" width="1.81640625" style="21" customWidth="1"/>
    <col min="3" max="3" width="43.54296875" style="24" customWidth="1"/>
    <col min="4" max="4" width="10.81640625" style="21" customWidth="1"/>
    <col min="5" max="5" width="9.453125" style="21" customWidth="1"/>
    <col min="6" max="6" width="11.26953125" style="21" customWidth="1"/>
    <col min="7" max="8" width="7.08984375" style="21"/>
    <col min="9" max="9" width="10.81640625" style="21" bestFit="1" customWidth="1"/>
    <col min="10" max="16384" width="7.08984375" style="21"/>
  </cols>
  <sheetData>
    <row r="1" spans="1:9">
      <c r="F1" s="21" t="s">
        <v>351</v>
      </c>
    </row>
    <row r="2" spans="1:9" ht="40.5" customHeight="1">
      <c r="A2" s="314" t="s">
        <v>350</v>
      </c>
      <c r="B2" s="315"/>
      <c r="C2" s="315"/>
      <c r="D2" s="315"/>
      <c r="E2" s="315"/>
      <c r="F2" s="315"/>
    </row>
    <row r="3" spans="1:9">
      <c r="A3" s="66" t="s">
        <v>135</v>
      </c>
      <c r="B3" s="22"/>
      <c r="C3" s="22"/>
    </row>
    <row r="4" spans="1:9">
      <c r="A4" s="67" t="s">
        <v>136</v>
      </c>
      <c r="B4" s="22"/>
      <c r="C4" s="22"/>
    </row>
    <row r="5" spans="1:9" ht="15.6">
      <c r="A5" s="22">
        <v>1</v>
      </c>
      <c r="B5" s="317" t="s">
        <v>393</v>
      </c>
      <c r="C5" s="317"/>
      <c r="D5" s="317"/>
      <c r="E5" s="317"/>
      <c r="F5" s="317"/>
      <c r="I5" s="276"/>
    </row>
    <row r="6" spans="1:9" ht="15.6">
      <c r="A6" s="22">
        <v>2</v>
      </c>
      <c r="B6" s="163"/>
      <c r="C6" s="163"/>
      <c r="D6" s="163"/>
      <c r="E6" s="163"/>
    </row>
    <row r="7" spans="1:9">
      <c r="A7" s="22">
        <v>3</v>
      </c>
      <c r="C7" s="162" t="s">
        <v>337</v>
      </c>
      <c r="D7" s="162" t="s">
        <v>349</v>
      </c>
      <c r="E7" s="162" t="s">
        <v>348</v>
      </c>
      <c r="F7" s="162" t="s">
        <v>347</v>
      </c>
    </row>
    <row r="8" spans="1:9" ht="39.6">
      <c r="A8" s="22">
        <v>4</v>
      </c>
      <c r="B8" s="23" t="s">
        <v>346</v>
      </c>
      <c r="E8" s="158" t="s">
        <v>345</v>
      </c>
      <c r="F8" s="161" t="s">
        <v>344</v>
      </c>
    </row>
    <row r="9" spans="1:9">
      <c r="A9" s="22">
        <v>5</v>
      </c>
      <c r="C9" s="155">
        <v>44896</v>
      </c>
      <c r="D9" s="30"/>
      <c r="E9" s="160">
        <v>12</v>
      </c>
      <c r="F9" s="143">
        <f t="shared" ref="F9:F21" si="0">(+D9*E9)/12</f>
        <v>0</v>
      </c>
      <c r="I9" s="276"/>
    </row>
    <row r="10" spans="1:9">
      <c r="A10" s="22">
        <v>6</v>
      </c>
      <c r="C10" s="155">
        <v>44927</v>
      </c>
      <c r="D10" s="30"/>
      <c r="E10" s="160">
        <v>11.5</v>
      </c>
      <c r="F10" s="143">
        <f t="shared" si="0"/>
        <v>0</v>
      </c>
      <c r="I10" s="276"/>
    </row>
    <row r="11" spans="1:9">
      <c r="A11" s="22">
        <v>7</v>
      </c>
      <c r="C11" s="155">
        <v>44958</v>
      </c>
      <c r="D11" s="30"/>
      <c r="E11" s="160">
        <v>10.5</v>
      </c>
      <c r="F11" s="143">
        <f t="shared" si="0"/>
        <v>0</v>
      </c>
      <c r="I11" s="276"/>
    </row>
    <row r="12" spans="1:9">
      <c r="A12" s="22">
        <v>8</v>
      </c>
      <c r="C12" s="155">
        <v>44986</v>
      </c>
      <c r="D12" s="30">
        <v>15320610</v>
      </c>
      <c r="E12" s="160">
        <v>9.5</v>
      </c>
      <c r="F12" s="143">
        <f t="shared" si="0"/>
        <v>12128816.25</v>
      </c>
      <c r="I12" s="276"/>
    </row>
    <row r="13" spans="1:9">
      <c r="A13" s="22">
        <v>9</v>
      </c>
      <c r="C13" s="155">
        <v>45017</v>
      </c>
      <c r="D13" s="30"/>
      <c r="E13" s="160">
        <v>8.5</v>
      </c>
      <c r="F13" s="143">
        <f t="shared" si="0"/>
        <v>0</v>
      </c>
      <c r="I13" s="276"/>
    </row>
    <row r="14" spans="1:9">
      <c r="A14" s="22">
        <v>10</v>
      </c>
      <c r="C14" s="155">
        <v>45047</v>
      </c>
      <c r="D14" s="30">
        <v>4546301</v>
      </c>
      <c r="E14" s="160">
        <v>7.5</v>
      </c>
      <c r="F14" s="143">
        <f t="shared" si="0"/>
        <v>2841438.125</v>
      </c>
      <c r="I14" s="276"/>
    </row>
    <row r="15" spans="1:9">
      <c r="A15" s="22">
        <v>11</v>
      </c>
      <c r="C15" s="155">
        <v>45078</v>
      </c>
      <c r="D15" s="30">
        <v>6778679</v>
      </c>
      <c r="E15" s="160">
        <v>6.5</v>
      </c>
      <c r="F15" s="143">
        <f t="shared" si="0"/>
        <v>3671784.4583333335</v>
      </c>
      <c r="I15" s="276"/>
    </row>
    <row r="16" spans="1:9">
      <c r="A16" s="22">
        <v>12</v>
      </c>
      <c r="C16" s="155">
        <v>45108</v>
      </c>
      <c r="D16" s="30"/>
      <c r="E16" s="160">
        <v>5.5</v>
      </c>
      <c r="F16" s="143">
        <f t="shared" si="0"/>
        <v>0</v>
      </c>
      <c r="I16" s="276"/>
    </row>
    <row r="17" spans="1:10">
      <c r="A17" s="22">
        <v>13</v>
      </c>
      <c r="C17" s="155">
        <v>45139</v>
      </c>
      <c r="D17" s="30"/>
      <c r="E17" s="160">
        <v>4.5</v>
      </c>
      <c r="F17" s="143">
        <f t="shared" si="0"/>
        <v>0</v>
      </c>
      <c r="I17" s="276"/>
    </row>
    <row r="18" spans="1:10">
      <c r="A18" s="22">
        <v>14</v>
      </c>
      <c r="C18" s="155">
        <v>45170</v>
      </c>
      <c r="D18" s="30"/>
      <c r="E18" s="160">
        <v>3.5</v>
      </c>
      <c r="F18" s="143">
        <f t="shared" si="0"/>
        <v>0</v>
      </c>
      <c r="I18" s="276"/>
    </row>
    <row r="19" spans="1:10">
      <c r="A19" s="22">
        <v>15</v>
      </c>
      <c r="C19" s="155">
        <v>45200</v>
      </c>
      <c r="D19" s="30"/>
      <c r="E19" s="160">
        <v>2.5</v>
      </c>
      <c r="F19" s="143">
        <f t="shared" si="0"/>
        <v>0</v>
      </c>
      <c r="I19" s="276"/>
    </row>
    <row r="20" spans="1:10">
      <c r="A20" s="22">
        <v>16</v>
      </c>
      <c r="C20" s="155">
        <v>45231</v>
      </c>
      <c r="D20" s="30"/>
      <c r="E20" s="160">
        <v>1.5</v>
      </c>
      <c r="F20" s="143">
        <f t="shared" si="0"/>
        <v>0</v>
      </c>
      <c r="I20" s="276"/>
    </row>
    <row r="21" spans="1:10">
      <c r="A21" s="22">
        <v>17</v>
      </c>
      <c r="C21" s="155">
        <v>45261</v>
      </c>
      <c r="D21" s="30"/>
      <c r="E21" s="160">
        <v>0.5</v>
      </c>
      <c r="F21" s="143">
        <f t="shared" si="0"/>
        <v>0</v>
      </c>
      <c r="I21" s="276"/>
      <c r="J21" s="274"/>
    </row>
    <row r="22" spans="1:10">
      <c r="A22" s="22">
        <v>18</v>
      </c>
      <c r="D22" s="159"/>
      <c r="F22" s="159"/>
    </row>
    <row r="23" spans="1:10">
      <c r="A23" s="22">
        <v>19</v>
      </c>
      <c r="B23" s="23"/>
      <c r="D23" s="146">
        <f>SUM(D9:D22)</f>
        <v>26645590</v>
      </c>
      <c r="F23" s="146">
        <f>SUM(F9:F22)</f>
        <v>18642038.833333332</v>
      </c>
    </row>
    <row r="24" spans="1:10">
      <c r="A24" s="22">
        <v>20</v>
      </c>
    </row>
    <row r="25" spans="1:10">
      <c r="A25" s="22">
        <v>21</v>
      </c>
      <c r="C25" s="25" t="s">
        <v>338</v>
      </c>
      <c r="D25" s="25"/>
      <c r="E25" s="25"/>
      <c r="F25" s="153">
        <f>'BHP WP2 Capital Additions'!F21</f>
        <v>2.3199999999999998E-2</v>
      </c>
      <c r="I25" s="276"/>
    </row>
    <row r="26" spans="1:10">
      <c r="A26" s="22">
        <v>22</v>
      </c>
      <c r="C26" s="25"/>
      <c r="D26" s="25"/>
      <c r="E26" s="25"/>
      <c r="F26" s="149"/>
    </row>
    <row r="27" spans="1:10" ht="13.8" thickBot="1">
      <c r="A27" s="22">
        <v>23</v>
      </c>
      <c r="C27" s="25" t="s">
        <v>343</v>
      </c>
      <c r="D27" s="25"/>
      <c r="E27" s="25"/>
      <c r="F27" s="152">
        <f>+F23*F25</f>
        <v>432495.30093333329</v>
      </c>
      <c r="I27" s="276"/>
    </row>
    <row r="28" spans="1:10" s="29" customFormat="1" ht="13.8" thickTop="1">
      <c r="A28" s="136">
        <v>24</v>
      </c>
      <c r="C28" s="262"/>
    </row>
    <row r="29" spans="1:10" s="29" customFormat="1">
      <c r="A29" s="136">
        <v>25</v>
      </c>
      <c r="C29" s="262" t="s">
        <v>395</v>
      </c>
    </row>
    <row r="30" spans="1:10" s="29" customFormat="1" ht="12.75" customHeight="1">
      <c r="A30" s="136">
        <v>26</v>
      </c>
      <c r="C30" s="262" t="s">
        <v>397</v>
      </c>
      <c r="D30" s="262"/>
      <c r="E30" s="262"/>
    </row>
    <row r="31" spans="1:10" s="29" customFormat="1">
      <c r="A31" s="136">
        <v>27</v>
      </c>
      <c r="C31" s="262" t="s">
        <v>398</v>
      </c>
    </row>
    <row r="32" spans="1:10">
      <c r="A32" s="22"/>
      <c r="C32" s="262"/>
    </row>
    <row r="33" spans="1:4">
      <c r="A33" s="22"/>
    </row>
    <row r="34" spans="1:4">
      <c r="A34" s="22"/>
      <c r="D34" s="146"/>
    </row>
    <row r="35" spans="1:4">
      <c r="A35" s="22"/>
    </row>
    <row r="36" spans="1:4">
      <c r="A36" s="22"/>
    </row>
    <row r="37" spans="1:4">
      <c r="A37" s="22"/>
    </row>
    <row r="38" spans="1:4">
      <c r="A38" s="22"/>
    </row>
    <row r="109" spans="6:7">
      <c r="F109" s="21" t="s">
        <v>138</v>
      </c>
      <c r="G109" s="21">
        <f>+I178</f>
        <v>0</v>
      </c>
    </row>
    <row r="110" spans="6:7">
      <c r="G110" s="21">
        <f>+G109</f>
        <v>0</v>
      </c>
    </row>
  </sheetData>
  <mergeCells count="2">
    <mergeCell ref="B5:F5"/>
    <mergeCell ref="A2:F2"/>
  </mergeCells>
  <printOptions horizontalCentered="1"/>
  <pageMargins left="0.75" right="0.75" top="1" bottom="1" header="0.5" footer="0.5"/>
  <pageSetup scale="92" orientation="portrait" r:id="rId1"/>
  <headerFooter alignWithMargins="0">
    <oddHeader xml:space="preserve">&amp;C&amp;"Arial MT,Bold"ESTIMATED SERVICE YEAR ATRR
BLACK HILLS POWER, INC.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J38"/>
  <sheetViews>
    <sheetView zoomScaleNormal="100" workbookViewId="0">
      <selection activeCell="L17" sqref="L17"/>
    </sheetView>
  </sheetViews>
  <sheetFormatPr defaultColWidth="7.08984375" defaultRowHeight="13.2"/>
  <cols>
    <col min="1" max="1" width="10.08984375" style="21" customWidth="1"/>
    <col min="2" max="2" width="3.54296875" style="21" customWidth="1"/>
    <col min="3" max="4" width="1.81640625" style="21" customWidth="1"/>
    <col min="5" max="5" width="4" style="21" customWidth="1"/>
    <col min="6" max="6" width="24.08984375" style="21" customWidth="1"/>
    <col min="7" max="7" width="1.81640625" style="21" customWidth="1"/>
    <col min="8" max="8" width="8.08984375" style="24" customWidth="1"/>
    <col min="9" max="9" width="8.08984375" style="21" customWidth="1"/>
    <col min="10" max="16384" width="7.08984375" style="21"/>
  </cols>
  <sheetData>
    <row r="2" spans="1:10">
      <c r="I2" s="21" t="s">
        <v>361</v>
      </c>
    </row>
    <row r="3" spans="1:10" ht="40.5" customHeight="1">
      <c r="B3" s="314" t="s">
        <v>362</v>
      </c>
      <c r="C3" s="315"/>
      <c r="D3" s="315"/>
      <c r="E3" s="315"/>
      <c r="F3" s="315"/>
      <c r="G3" s="315"/>
      <c r="H3" s="315"/>
    </row>
    <row r="4" spans="1:10">
      <c r="J4" s="274"/>
    </row>
    <row r="7" spans="1:10">
      <c r="F7" s="81"/>
    </row>
    <row r="8" spans="1:10">
      <c r="A8" s="315"/>
      <c r="B8" s="315"/>
      <c r="C8" s="315"/>
      <c r="D8" s="315"/>
      <c r="E8" s="315"/>
      <c r="F8" s="315"/>
      <c r="G8" s="315"/>
      <c r="H8" s="315"/>
    </row>
    <row r="9" spans="1:10">
      <c r="B9" s="66" t="s">
        <v>135</v>
      </c>
      <c r="H9" s="137" t="s">
        <v>319</v>
      </c>
    </row>
    <row r="10" spans="1:10">
      <c r="B10" s="67" t="s">
        <v>136</v>
      </c>
      <c r="D10" s="78" t="s">
        <v>255</v>
      </c>
      <c r="E10" s="78"/>
      <c r="F10" s="78"/>
      <c r="H10" s="79" t="s">
        <v>122</v>
      </c>
    </row>
    <row r="11" spans="1:10">
      <c r="B11" s="22">
        <v>1</v>
      </c>
    </row>
    <row r="12" spans="1:10">
      <c r="B12" s="22">
        <v>2</v>
      </c>
      <c r="D12" s="23" t="s">
        <v>77</v>
      </c>
      <c r="E12" s="23"/>
    </row>
    <row r="13" spans="1:10">
      <c r="B13" s="22">
        <v>3</v>
      </c>
    </row>
    <row r="14" spans="1:10">
      <c r="B14" s="22">
        <v>4</v>
      </c>
      <c r="E14" s="21">
        <v>350</v>
      </c>
      <c r="F14" s="25" t="s">
        <v>256</v>
      </c>
      <c r="H14" s="138">
        <v>0</v>
      </c>
    </row>
    <row r="15" spans="1:10">
      <c r="B15" s="22">
        <v>5</v>
      </c>
      <c r="E15" s="21">
        <v>352</v>
      </c>
      <c r="F15" s="25" t="s">
        <v>257</v>
      </c>
      <c r="H15" s="138">
        <v>2.3900000000000001E-2</v>
      </c>
    </row>
    <row r="16" spans="1:10">
      <c r="B16" s="22">
        <v>6</v>
      </c>
      <c r="E16" s="21">
        <v>353</v>
      </c>
      <c r="F16" s="25" t="s">
        <v>258</v>
      </c>
      <c r="H16" s="138">
        <v>2.6599999999999999E-2</v>
      </c>
    </row>
    <row r="17" spans="2:8">
      <c r="B17" s="22">
        <v>7</v>
      </c>
      <c r="E17" s="21">
        <v>354</v>
      </c>
      <c r="F17" s="25" t="s">
        <v>259</v>
      </c>
      <c r="H17" s="138">
        <v>2.0400000000000001E-2</v>
      </c>
    </row>
    <row r="18" spans="2:8">
      <c r="B18" s="22">
        <v>8</v>
      </c>
      <c r="E18" s="21">
        <v>355</v>
      </c>
      <c r="F18" s="25" t="s">
        <v>260</v>
      </c>
      <c r="H18" s="138">
        <v>2.2200000000000001E-2</v>
      </c>
    </row>
    <row r="19" spans="2:8">
      <c r="B19" s="22">
        <v>9</v>
      </c>
      <c r="E19" s="21">
        <v>356</v>
      </c>
      <c r="F19" s="25" t="s">
        <v>261</v>
      </c>
      <c r="H19" s="138">
        <v>2.0400000000000001E-2</v>
      </c>
    </row>
    <row r="20" spans="2:8">
      <c r="B20" s="22">
        <v>10</v>
      </c>
      <c r="E20" s="21">
        <v>359</v>
      </c>
      <c r="F20" s="25" t="s">
        <v>262</v>
      </c>
      <c r="H20" s="138">
        <v>1.95E-2</v>
      </c>
    </row>
    <row r="21" spans="2:8">
      <c r="B21" s="22">
        <v>11</v>
      </c>
      <c r="F21" s="25" t="s">
        <v>4</v>
      </c>
      <c r="H21" s="138">
        <v>2.3199999999999998E-2</v>
      </c>
    </row>
    <row r="22" spans="2:8">
      <c r="B22" s="22">
        <v>12</v>
      </c>
      <c r="H22" s="138"/>
    </row>
    <row r="23" spans="2:8">
      <c r="B23" s="22">
        <v>13</v>
      </c>
      <c r="D23" s="23" t="s">
        <v>66</v>
      </c>
      <c r="H23" s="138"/>
    </row>
    <row r="24" spans="2:8">
      <c r="B24" s="22">
        <v>14</v>
      </c>
      <c r="H24" s="138"/>
    </row>
    <row r="25" spans="2:8">
      <c r="B25" s="22">
        <v>15</v>
      </c>
      <c r="E25" s="21">
        <v>389</v>
      </c>
      <c r="F25" s="127" t="s">
        <v>256</v>
      </c>
      <c r="H25" s="138">
        <v>0</v>
      </c>
    </row>
    <row r="26" spans="2:8">
      <c r="B26" s="22">
        <v>16</v>
      </c>
      <c r="E26" s="21">
        <v>390</v>
      </c>
      <c r="F26" s="25" t="s">
        <v>257</v>
      </c>
      <c r="H26" s="138">
        <v>4.7300000000000002E-2</v>
      </c>
    </row>
    <row r="27" spans="2:8">
      <c r="B27" s="22">
        <v>17</v>
      </c>
      <c r="E27" s="21">
        <v>391</v>
      </c>
      <c r="F27" s="25" t="s">
        <v>263</v>
      </c>
      <c r="H27" s="138">
        <v>0.1056</v>
      </c>
    </row>
    <row r="28" spans="2:8">
      <c r="B28" s="22">
        <v>18</v>
      </c>
      <c r="E28" s="21">
        <v>392</v>
      </c>
      <c r="F28" s="25" t="s">
        <v>264</v>
      </c>
      <c r="H28" s="138">
        <v>9.06E-2</v>
      </c>
    </row>
    <row r="29" spans="2:8">
      <c r="B29" s="22">
        <v>19</v>
      </c>
      <c r="E29" s="21">
        <v>393</v>
      </c>
      <c r="F29" s="25" t="s">
        <v>265</v>
      </c>
      <c r="H29" s="138">
        <v>4.2299999999999997E-2</v>
      </c>
    </row>
    <row r="30" spans="2:8">
      <c r="B30" s="22">
        <v>20</v>
      </c>
      <c r="E30" s="21">
        <v>394</v>
      </c>
      <c r="F30" s="25" t="s">
        <v>12</v>
      </c>
      <c r="H30" s="138">
        <v>4.2299999999999997E-2</v>
      </c>
    </row>
    <row r="31" spans="2:8">
      <c r="B31" s="22">
        <v>21</v>
      </c>
      <c r="E31" s="21">
        <v>395</v>
      </c>
      <c r="F31" s="25" t="s">
        <v>266</v>
      </c>
      <c r="H31" s="138">
        <v>3.0599999999999999E-2</v>
      </c>
    </row>
    <row r="32" spans="2:8">
      <c r="B32" s="22">
        <v>22</v>
      </c>
      <c r="E32" s="21">
        <v>396</v>
      </c>
      <c r="F32" s="25" t="s">
        <v>267</v>
      </c>
      <c r="H32" s="138">
        <v>4.2299999999999997E-2</v>
      </c>
    </row>
    <row r="33" spans="2:8">
      <c r="B33" s="22">
        <v>23</v>
      </c>
      <c r="E33" s="21">
        <v>397</v>
      </c>
      <c r="F33" s="25" t="s">
        <v>268</v>
      </c>
      <c r="H33" s="138">
        <v>4.3900000000000002E-2</v>
      </c>
    </row>
    <row r="34" spans="2:8">
      <c r="B34" s="22">
        <v>24</v>
      </c>
      <c r="E34" s="21">
        <v>398</v>
      </c>
      <c r="F34" s="25" t="s">
        <v>269</v>
      </c>
      <c r="H34" s="138">
        <v>5.8099999999999999E-2</v>
      </c>
    </row>
    <row r="35" spans="2:8">
      <c r="B35" s="136">
        <v>25</v>
      </c>
      <c r="C35" s="29"/>
      <c r="D35" s="29"/>
      <c r="E35" s="29"/>
      <c r="F35" s="83" t="s">
        <v>11</v>
      </c>
      <c r="G35" s="29"/>
      <c r="H35" s="138">
        <v>6.5299999999999997E-2</v>
      </c>
    </row>
    <row r="36" spans="2:8">
      <c r="B36" s="22">
        <v>26</v>
      </c>
    </row>
    <row r="37" spans="2:8">
      <c r="B37" s="22">
        <v>27</v>
      </c>
      <c r="D37" s="25" t="s">
        <v>376</v>
      </c>
      <c r="E37" s="80"/>
      <c r="F37" s="25"/>
    </row>
    <row r="38" spans="2:8">
      <c r="F38" s="25"/>
    </row>
  </sheetData>
  <mergeCells count="2">
    <mergeCell ref="A8:H8"/>
    <mergeCell ref="B3:H3"/>
  </mergeCells>
  <phoneticPr fontId="14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BQ65"/>
  <sheetViews>
    <sheetView topLeftCell="A13" zoomScale="60" zoomScaleNormal="60" zoomScaleSheetLayoutView="85" workbookViewId="0">
      <selection activeCell="J54" sqref="J54"/>
    </sheetView>
  </sheetViews>
  <sheetFormatPr defaultColWidth="8.81640625" defaultRowHeight="15"/>
  <cols>
    <col min="1" max="1" width="6" style="132" customWidth="1"/>
    <col min="2" max="2" width="1.453125" style="132" customWidth="1"/>
    <col min="3" max="3" width="36" style="132" customWidth="1"/>
    <col min="4" max="4" width="25.81640625" style="132" customWidth="1"/>
    <col min="5" max="5" width="15.08984375" style="132" customWidth="1"/>
    <col min="6" max="12" width="15.81640625" style="132" customWidth="1"/>
    <col min="13" max="13" width="14.81640625" style="132" bestFit="1" customWidth="1"/>
    <col min="14" max="18" width="15.81640625" style="132" customWidth="1"/>
    <col min="19" max="19" width="8.81640625" style="132"/>
    <col min="20" max="20" width="19.26953125" style="132" bestFit="1" customWidth="1"/>
    <col min="21" max="21" width="16.26953125" style="132" bestFit="1" customWidth="1"/>
    <col min="22" max="22" width="14.7265625" style="132" customWidth="1"/>
    <col min="23" max="16384" width="8.81640625" style="132"/>
  </cols>
  <sheetData>
    <row r="2" spans="1:69" ht="15.6">
      <c r="A2" s="3"/>
      <c r="B2" s="3"/>
      <c r="C2" s="3"/>
      <c r="D2" s="87"/>
      <c r="E2" s="3"/>
      <c r="F2" s="3"/>
      <c r="G2" s="3"/>
      <c r="H2" s="3"/>
      <c r="I2" s="173"/>
      <c r="J2" s="3"/>
      <c r="K2" s="3"/>
      <c r="L2" s="3"/>
      <c r="O2" s="131"/>
      <c r="R2" s="281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</row>
    <row r="3" spans="1:6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31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</row>
    <row r="4" spans="1:69" ht="15" customHeight="1">
      <c r="A4" s="311" t="s">
        <v>238</v>
      </c>
      <c r="B4" s="311"/>
      <c r="C4" s="311"/>
      <c r="D4" s="311"/>
      <c r="E4" s="311"/>
      <c r="F4" s="311"/>
      <c r="G4" s="311"/>
      <c r="H4" s="311"/>
      <c r="I4" s="311"/>
      <c r="J4" s="311" t="s">
        <v>238</v>
      </c>
      <c r="K4" s="311"/>
      <c r="L4" s="311"/>
      <c r="M4" s="311"/>
      <c r="N4" s="311"/>
      <c r="O4" s="311"/>
      <c r="P4" s="311"/>
      <c r="Q4" s="311"/>
      <c r="R4" s="31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</row>
    <row r="5" spans="1:69" ht="15.6">
      <c r="A5" s="312" t="s">
        <v>134</v>
      </c>
      <c r="B5" s="312"/>
      <c r="C5" s="312"/>
      <c r="D5" s="312"/>
      <c r="E5" s="312"/>
      <c r="F5" s="312"/>
      <c r="G5" s="312"/>
      <c r="H5" s="312"/>
      <c r="I5" s="312"/>
      <c r="J5" s="312" t="s">
        <v>134</v>
      </c>
      <c r="K5" s="312"/>
      <c r="L5" s="312"/>
      <c r="M5" s="312"/>
      <c r="N5" s="312"/>
      <c r="O5" s="312"/>
      <c r="P5" s="312"/>
      <c r="Q5" s="312"/>
      <c r="R5" s="31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</row>
    <row r="6" spans="1:69">
      <c r="A6" s="3"/>
      <c r="B6" s="3"/>
      <c r="C6" s="131"/>
      <c r="D6" s="131"/>
      <c r="F6" s="131"/>
      <c r="G6" s="131"/>
      <c r="H6" s="131"/>
      <c r="I6" s="29" t="s">
        <v>353</v>
      </c>
      <c r="J6" s="3"/>
      <c r="K6" s="3"/>
      <c r="L6" s="131"/>
      <c r="M6" s="131"/>
      <c r="O6" s="131"/>
      <c r="P6" s="131"/>
      <c r="Q6" s="131"/>
      <c r="R6" s="131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</row>
    <row r="7" spans="1:69" ht="15" customHeight="1">
      <c r="A7" s="310" t="s">
        <v>237</v>
      </c>
      <c r="B7" s="310"/>
      <c r="C7" s="310"/>
      <c r="D7" s="310"/>
      <c r="E7" s="310"/>
      <c r="F7" s="310"/>
      <c r="G7" s="310"/>
      <c r="H7" s="310"/>
      <c r="I7" s="310"/>
      <c r="J7" s="310" t="s">
        <v>237</v>
      </c>
      <c r="K7" s="310"/>
      <c r="L7" s="310"/>
      <c r="M7" s="310"/>
      <c r="N7" s="310"/>
      <c r="O7" s="310"/>
      <c r="P7" s="310"/>
      <c r="Q7" s="310"/>
      <c r="R7" s="310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</row>
    <row r="8" spans="1:69">
      <c r="A8" s="55"/>
      <c r="B8" s="3"/>
      <c r="C8" s="131"/>
      <c r="D8" s="131"/>
      <c r="E8" s="177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</row>
    <row r="9" spans="1:69">
      <c r="A9" s="3"/>
      <c r="B9" s="3"/>
      <c r="C9" s="178"/>
      <c r="D9" s="178"/>
      <c r="E9" s="178"/>
      <c r="F9" s="1"/>
      <c r="G9" s="1"/>
      <c r="H9" s="1"/>
      <c r="I9" s="1"/>
      <c r="J9" s="1"/>
      <c r="K9" s="1"/>
      <c r="L9" s="178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</row>
    <row r="10" spans="1:69" ht="15.6">
      <c r="A10" s="3"/>
      <c r="B10" s="3"/>
      <c r="C10" s="170"/>
      <c r="D10" s="302" t="s">
        <v>144</v>
      </c>
      <c r="E10" s="1"/>
      <c r="F10" s="1"/>
      <c r="G10" s="1"/>
      <c r="H10" s="1"/>
      <c r="I10" s="1"/>
      <c r="J10" s="1"/>
      <c r="K10" s="1"/>
      <c r="L10" s="178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</row>
    <row r="11" spans="1:69" ht="15.6">
      <c r="A11" s="55" t="s">
        <v>135</v>
      </c>
      <c r="B11" s="3"/>
      <c r="C11" s="170"/>
      <c r="D11" s="182" t="s">
        <v>146</v>
      </c>
      <c r="E11" s="301" t="s">
        <v>147</v>
      </c>
      <c r="F11" s="183"/>
      <c r="G11" s="183"/>
      <c r="H11" s="183"/>
      <c r="I11" s="183"/>
      <c r="J11" s="183"/>
      <c r="K11" s="183"/>
      <c r="L11" s="178"/>
      <c r="O11" s="282"/>
      <c r="P11" s="282"/>
      <c r="Q11" s="283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</row>
    <row r="12" spans="1:69" ht="16.2" thickBot="1">
      <c r="A12" s="186" t="s">
        <v>136</v>
      </c>
      <c r="B12" s="3"/>
      <c r="C12" s="187" t="s">
        <v>149</v>
      </c>
      <c r="D12" s="1"/>
      <c r="E12" s="211" t="s">
        <v>15</v>
      </c>
      <c r="F12" s="211" t="s">
        <v>16</v>
      </c>
      <c r="G12" s="211" t="s">
        <v>17</v>
      </c>
      <c r="H12" s="211" t="s">
        <v>18</v>
      </c>
      <c r="I12" s="211" t="s">
        <v>19</v>
      </c>
      <c r="J12" s="211" t="s">
        <v>20</v>
      </c>
      <c r="K12" s="211" t="s">
        <v>21</v>
      </c>
      <c r="L12" s="211" t="s">
        <v>22</v>
      </c>
      <c r="M12" s="211" t="s">
        <v>109</v>
      </c>
      <c r="N12" s="211" t="s">
        <v>23</v>
      </c>
      <c r="O12" s="211" t="s">
        <v>24</v>
      </c>
      <c r="P12" s="211" t="s">
        <v>25</v>
      </c>
      <c r="Q12" s="211" t="s">
        <v>26</v>
      </c>
      <c r="R12" s="211" t="s">
        <v>27</v>
      </c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</row>
    <row r="13" spans="1:69">
      <c r="A13" s="55"/>
      <c r="B13" s="3"/>
      <c r="C13" s="170"/>
      <c r="D13" s="1"/>
      <c r="E13" s="306">
        <v>44166</v>
      </c>
      <c r="F13" s="306">
        <v>44197</v>
      </c>
      <c r="G13" s="306">
        <v>44228</v>
      </c>
      <c r="H13" s="306">
        <v>44256</v>
      </c>
      <c r="I13" s="306">
        <v>44287</v>
      </c>
      <c r="J13" s="306">
        <v>44317</v>
      </c>
      <c r="K13" s="306">
        <v>44348</v>
      </c>
      <c r="L13" s="306">
        <v>44378</v>
      </c>
      <c r="M13" s="306">
        <v>44409</v>
      </c>
      <c r="N13" s="306">
        <v>44440</v>
      </c>
      <c r="O13" s="306">
        <v>44470</v>
      </c>
      <c r="P13" s="306">
        <v>44501</v>
      </c>
      <c r="Q13" s="306">
        <v>44531</v>
      </c>
      <c r="R13" s="65" t="s">
        <v>14</v>
      </c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</row>
    <row r="14" spans="1:69">
      <c r="A14" s="55"/>
      <c r="B14" s="3"/>
      <c r="C14" s="170" t="s">
        <v>30</v>
      </c>
      <c r="D14" s="1" t="s">
        <v>316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S14" s="1"/>
      <c r="T14" s="1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</row>
    <row r="15" spans="1:69">
      <c r="A15" s="55">
        <v>1</v>
      </c>
      <c r="B15" s="3"/>
      <c r="C15" s="170" t="s">
        <v>151</v>
      </c>
      <c r="D15" s="1" t="s">
        <v>39</v>
      </c>
      <c r="E15" s="65">
        <v>663360946.57999992</v>
      </c>
      <c r="F15" s="65">
        <v>667187368.68999994</v>
      </c>
      <c r="G15" s="65">
        <v>667780619.74999988</v>
      </c>
      <c r="H15" s="65">
        <v>663836119.50999999</v>
      </c>
      <c r="I15" s="65">
        <v>666199617.81999981</v>
      </c>
      <c r="J15" s="65">
        <v>666545026.88</v>
      </c>
      <c r="K15" s="65">
        <v>661129091.66999996</v>
      </c>
      <c r="L15" s="65">
        <v>669388590.11000013</v>
      </c>
      <c r="M15" s="65">
        <v>678356815.65000021</v>
      </c>
      <c r="N15" s="65">
        <v>665954249.40999997</v>
      </c>
      <c r="O15" s="65">
        <v>678938320.78999996</v>
      </c>
      <c r="P15" s="65">
        <v>679927412.15000021</v>
      </c>
      <c r="Q15" s="65">
        <v>685363401.37</v>
      </c>
      <c r="R15" s="65">
        <f t="shared" ref="R15:R21" si="0">AVERAGE(E15:Q15)</f>
        <v>670305198.49076927</v>
      </c>
      <c r="S15" s="1"/>
      <c r="T15" s="3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</row>
    <row r="16" spans="1:69">
      <c r="A16" s="55">
        <f t="shared" ref="A16:A65" si="1">+A15+1</f>
        <v>2</v>
      </c>
      <c r="B16" s="3"/>
      <c r="C16" s="170" t="s">
        <v>153</v>
      </c>
      <c r="D16" s="1" t="s">
        <v>84</v>
      </c>
      <c r="E16" s="65">
        <v>241146841.09</v>
      </c>
      <c r="F16" s="65">
        <v>242345926.87999997</v>
      </c>
      <c r="G16" s="65">
        <v>241895006.59999999</v>
      </c>
      <c r="H16" s="65">
        <v>241417596.26999998</v>
      </c>
      <c r="I16" s="65">
        <v>244534297.96000001</v>
      </c>
      <c r="J16" s="65">
        <v>251270240.08999994</v>
      </c>
      <c r="K16" s="65">
        <v>250778534.09999996</v>
      </c>
      <c r="L16" s="65">
        <v>250822548.66999999</v>
      </c>
      <c r="M16" s="65">
        <v>251203046.85999998</v>
      </c>
      <c r="N16" s="65">
        <v>250732574.53999999</v>
      </c>
      <c r="O16" s="65">
        <v>251077620.72999999</v>
      </c>
      <c r="P16" s="65">
        <v>250876319.92000002</v>
      </c>
      <c r="Q16" s="65">
        <v>254872602.56999999</v>
      </c>
      <c r="R16" s="65">
        <f t="shared" si="0"/>
        <v>247921012.02153847</v>
      </c>
      <c r="S16" s="1"/>
      <c r="T16" s="3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</row>
    <row r="17" spans="1:69">
      <c r="A17" s="55">
        <f t="shared" si="1"/>
        <v>3</v>
      </c>
      <c r="B17" s="3"/>
      <c r="C17" s="170" t="s">
        <v>154</v>
      </c>
      <c r="D17" s="1" t="s">
        <v>85</v>
      </c>
      <c r="E17" s="65">
        <v>473031181.0200001</v>
      </c>
      <c r="F17" s="65">
        <v>478289489.88000005</v>
      </c>
      <c r="G17" s="65">
        <v>481250309.71999997</v>
      </c>
      <c r="H17" s="65">
        <v>476574189.19</v>
      </c>
      <c r="I17" s="65">
        <v>476781362.70999992</v>
      </c>
      <c r="J17" s="65">
        <v>477530099.96000004</v>
      </c>
      <c r="K17" s="65">
        <v>472555962.11000007</v>
      </c>
      <c r="L17" s="65">
        <v>481690545.76000005</v>
      </c>
      <c r="M17" s="65">
        <v>484033775.84999996</v>
      </c>
      <c r="N17" s="65">
        <v>483281919.66000003</v>
      </c>
      <c r="O17" s="65">
        <v>489142805.96000016</v>
      </c>
      <c r="P17" s="65">
        <v>489929946.55000007</v>
      </c>
      <c r="Q17" s="65">
        <v>487693449.51000005</v>
      </c>
      <c r="R17" s="65">
        <f t="shared" si="0"/>
        <v>480906541.37538469</v>
      </c>
      <c r="S17" s="1"/>
      <c r="T17" s="3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</row>
    <row r="18" spans="1:69">
      <c r="A18" s="55">
        <f t="shared" si="1"/>
        <v>4</v>
      </c>
      <c r="B18" s="3"/>
      <c r="C18" s="170" t="s">
        <v>155</v>
      </c>
      <c r="D18" s="1" t="s">
        <v>313</v>
      </c>
      <c r="E18" s="65">
        <v>60489131.510000005</v>
      </c>
      <c r="F18" s="65">
        <v>61170319.49999997</v>
      </c>
      <c r="G18" s="65">
        <v>61343157.079999954</v>
      </c>
      <c r="H18" s="65">
        <v>62065672.609999985</v>
      </c>
      <c r="I18" s="65">
        <v>62321312.779999956</v>
      </c>
      <c r="J18" s="65">
        <v>61893660.949999973</v>
      </c>
      <c r="K18" s="65">
        <v>62126068.849999979</v>
      </c>
      <c r="L18" s="65">
        <v>62002138.739999995</v>
      </c>
      <c r="M18" s="65">
        <v>62058297.36999999</v>
      </c>
      <c r="N18" s="65">
        <v>60792660.999999985</v>
      </c>
      <c r="O18" s="65">
        <v>62235227.62999998</v>
      </c>
      <c r="P18" s="65">
        <v>61753640.809999987</v>
      </c>
      <c r="Q18" s="65">
        <v>61453596.25</v>
      </c>
      <c r="R18" s="65">
        <f t="shared" si="0"/>
        <v>61669606.544615358</v>
      </c>
      <c r="S18" s="1"/>
      <c r="T18" s="3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</row>
    <row r="19" spans="1:69">
      <c r="A19" s="55">
        <f t="shared" si="1"/>
        <v>5</v>
      </c>
      <c r="B19" s="3"/>
      <c r="C19" s="170" t="s">
        <v>101</v>
      </c>
      <c r="D19" s="1" t="s">
        <v>328</v>
      </c>
      <c r="E19" s="65">
        <v>26026522</v>
      </c>
      <c r="F19" s="65">
        <v>26072004</v>
      </c>
      <c r="G19" s="65">
        <v>26061063</v>
      </c>
      <c r="H19" s="65">
        <v>26147598</v>
      </c>
      <c r="I19" s="65">
        <v>26236762</v>
      </c>
      <c r="J19" s="65">
        <v>26325390</v>
      </c>
      <c r="K19" s="65">
        <v>26179960</v>
      </c>
      <c r="L19" s="65">
        <v>26240786</v>
      </c>
      <c r="M19" s="65">
        <v>27104882</v>
      </c>
      <c r="N19" s="65">
        <v>27680482</v>
      </c>
      <c r="O19" s="65">
        <v>27672790</v>
      </c>
      <c r="P19" s="65">
        <v>28095926</v>
      </c>
      <c r="Q19" s="65">
        <v>28423892.336431999</v>
      </c>
      <c r="R19" s="65">
        <f t="shared" si="0"/>
        <v>26789850.564340923</v>
      </c>
      <c r="S19" s="1"/>
      <c r="T19" s="3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</row>
    <row r="20" spans="1:69" ht="15.6">
      <c r="A20" s="55">
        <f t="shared" si="1"/>
        <v>6</v>
      </c>
      <c r="B20" s="3"/>
      <c r="C20" s="170" t="s">
        <v>68</v>
      </c>
      <c r="D20" s="1" t="s">
        <v>67</v>
      </c>
      <c r="E20" s="65">
        <v>7278054.4600000009</v>
      </c>
      <c r="F20" s="65">
        <v>7278065.7999999989</v>
      </c>
      <c r="G20" s="65">
        <v>7278065.7999999989</v>
      </c>
      <c r="H20" s="65">
        <v>7280146.5899999999</v>
      </c>
      <c r="I20" s="65">
        <v>7243998.7400000002</v>
      </c>
      <c r="J20" s="65">
        <v>7244011.5600000005</v>
      </c>
      <c r="K20" s="65">
        <v>7241851.9899999993</v>
      </c>
      <c r="L20" s="65">
        <v>7236390.0899999999</v>
      </c>
      <c r="M20" s="65">
        <v>7236507.1799999997</v>
      </c>
      <c r="N20" s="65">
        <v>6835477.0899999999</v>
      </c>
      <c r="O20" s="65">
        <v>7044722.7100000009</v>
      </c>
      <c r="P20" s="65">
        <v>6859094.9199999999</v>
      </c>
      <c r="Q20" s="65">
        <v>6862228.2400000002</v>
      </c>
      <c r="R20" s="65">
        <f t="shared" si="0"/>
        <v>7147585.7823076909</v>
      </c>
      <c r="S20" s="1"/>
      <c r="T20" s="284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</row>
    <row r="21" spans="1:69" ht="15.6">
      <c r="A21" s="55">
        <f t="shared" si="1"/>
        <v>7</v>
      </c>
      <c r="B21" s="3"/>
      <c r="C21" s="170" t="s">
        <v>157</v>
      </c>
      <c r="D21" s="1" t="s">
        <v>158</v>
      </c>
      <c r="E21" s="65">
        <v>0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>
        <v>0</v>
      </c>
      <c r="R21" s="65">
        <f t="shared" si="0"/>
        <v>0</v>
      </c>
      <c r="S21" s="1"/>
      <c r="T21" s="284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</row>
    <row r="22" spans="1:69" ht="15.6">
      <c r="A22" s="55">
        <f t="shared" si="1"/>
        <v>8</v>
      </c>
      <c r="B22" s="3"/>
      <c r="C22" s="171" t="s">
        <v>5</v>
      </c>
      <c r="D22" s="1" t="str">
        <f>"(sum lines "&amp;A15&amp;" - "&amp;A21&amp;")"</f>
        <v>(sum lines 1 - 7)</v>
      </c>
      <c r="E22" s="88">
        <f>SUM(E15:E21)</f>
        <v>1471332676.6600001</v>
      </c>
      <c r="F22" s="88">
        <f>SUM(F15:F21)</f>
        <v>1482343174.75</v>
      </c>
      <c r="G22" s="88">
        <f t="shared" ref="G22:R22" si="2">SUM(G15:G21)</f>
        <v>1485608221.9499998</v>
      </c>
      <c r="H22" s="88">
        <f t="shared" si="2"/>
        <v>1477321322.1699998</v>
      </c>
      <c r="I22" s="88">
        <f t="shared" si="2"/>
        <v>1483317352.0099998</v>
      </c>
      <c r="J22" s="88">
        <f t="shared" si="2"/>
        <v>1490808429.4399998</v>
      </c>
      <c r="K22" s="88">
        <f t="shared" si="2"/>
        <v>1480011468.72</v>
      </c>
      <c r="L22" s="88">
        <f t="shared" si="2"/>
        <v>1497380999.3700001</v>
      </c>
      <c r="M22" s="88">
        <f t="shared" si="2"/>
        <v>1509993324.9100001</v>
      </c>
      <c r="N22" s="88">
        <f t="shared" si="2"/>
        <v>1495277363.6999998</v>
      </c>
      <c r="O22" s="88">
        <f t="shared" si="2"/>
        <v>1516111487.8199999</v>
      </c>
      <c r="P22" s="88">
        <f t="shared" si="2"/>
        <v>1517442340.3500004</v>
      </c>
      <c r="Q22" s="88">
        <f t="shared" si="2"/>
        <v>1524669170.276432</v>
      </c>
      <c r="R22" s="88">
        <f t="shared" si="2"/>
        <v>1494739794.7789562</v>
      </c>
      <c r="S22" s="1"/>
      <c r="T22" s="284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</row>
    <row r="23" spans="1:69">
      <c r="A23" s="55">
        <f t="shared" si="1"/>
        <v>9</v>
      </c>
      <c r="B23" s="3"/>
      <c r="C23" s="170"/>
      <c r="D23" s="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1"/>
      <c r="T23" s="1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</row>
    <row r="24" spans="1:69">
      <c r="A24" s="55">
        <f t="shared" si="1"/>
        <v>10</v>
      </c>
      <c r="B24" s="3"/>
      <c r="C24" s="170" t="s">
        <v>31</v>
      </c>
      <c r="D24" s="1" t="s">
        <v>316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1"/>
      <c r="T24" s="1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</row>
    <row r="25" spans="1:69">
      <c r="A25" s="55">
        <f t="shared" si="1"/>
        <v>11</v>
      </c>
      <c r="B25" s="3"/>
      <c r="C25" s="170" t="str">
        <f>+C15</f>
        <v xml:space="preserve">  Production</v>
      </c>
      <c r="D25" s="1" t="s">
        <v>314</v>
      </c>
      <c r="E25" s="65">
        <v>218559376.06602514</v>
      </c>
      <c r="F25" s="65">
        <v>224058925.35347837</v>
      </c>
      <c r="G25" s="65">
        <v>225578469.65153465</v>
      </c>
      <c r="H25" s="65">
        <v>223105650.87181878</v>
      </c>
      <c r="I25" s="65">
        <v>228579573.74664745</v>
      </c>
      <c r="J25" s="65">
        <v>229883775.96811762</v>
      </c>
      <c r="K25" s="65">
        <v>225953639.52825505</v>
      </c>
      <c r="L25" s="65">
        <v>232010641.14485475</v>
      </c>
      <c r="M25" s="65">
        <v>233418925.48224589</v>
      </c>
      <c r="N25" s="65">
        <v>223212336.14062712</v>
      </c>
      <c r="O25" s="65">
        <v>235113428.11042663</v>
      </c>
      <c r="P25" s="65">
        <v>235820298.80236495</v>
      </c>
      <c r="Q25" s="65">
        <v>226175486.68207696</v>
      </c>
      <c r="R25" s="65">
        <f t="shared" ref="R25:R31" si="3">AVERAGE(E25:Q25)</f>
        <v>227805425.19603637</v>
      </c>
      <c r="S25" s="1"/>
      <c r="T25" s="3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</row>
    <row r="26" spans="1:69">
      <c r="A26" s="55">
        <f t="shared" si="1"/>
        <v>12</v>
      </c>
      <c r="B26" s="3"/>
      <c r="C26" s="170" t="s">
        <v>153</v>
      </c>
      <c r="D26" s="1" t="s">
        <v>86</v>
      </c>
      <c r="E26" s="65">
        <v>44394064.420561269</v>
      </c>
      <c r="F26" s="65">
        <v>45398759.820575729</v>
      </c>
      <c r="G26" s="65">
        <v>45847425.471051231</v>
      </c>
      <c r="H26" s="65">
        <v>45743473.450353973</v>
      </c>
      <c r="I26" s="65">
        <v>46730658.383907683</v>
      </c>
      <c r="J26" s="65">
        <v>47196436.755308554</v>
      </c>
      <c r="K26" s="65">
        <v>46949880.1619047</v>
      </c>
      <c r="L26" s="65">
        <v>47780503.877811931</v>
      </c>
      <c r="M26" s="65">
        <v>48222949.152413934</v>
      </c>
      <c r="N26" s="65">
        <v>48114332.712457508</v>
      </c>
      <c r="O26" s="65">
        <v>48742208.316749536</v>
      </c>
      <c r="P26" s="65">
        <v>49179953.6686491</v>
      </c>
      <c r="Q26" s="65">
        <v>48399379.671016805</v>
      </c>
      <c r="R26" s="65">
        <f t="shared" si="3"/>
        <v>47130771.22021246</v>
      </c>
      <c r="S26" s="1"/>
      <c r="T26" s="3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</row>
    <row r="27" spans="1:69">
      <c r="A27" s="55">
        <f t="shared" si="1"/>
        <v>13</v>
      </c>
      <c r="B27" s="3"/>
      <c r="C27" s="170" t="s">
        <v>154</v>
      </c>
      <c r="D27" s="1" t="s">
        <v>87</v>
      </c>
      <c r="E27" s="65">
        <v>154227433.02753505</v>
      </c>
      <c r="F27" s="65">
        <v>159221759.12239951</v>
      </c>
      <c r="G27" s="65">
        <v>160142811.30648357</v>
      </c>
      <c r="H27" s="65">
        <v>154911360.81062537</v>
      </c>
      <c r="I27" s="65">
        <v>161231080.33760405</v>
      </c>
      <c r="J27" s="65">
        <v>161969168.11918211</v>
      </c>
      <c r="K27" s="65">
        <v>156386358.8910504</v>
      </c>
      <c r="L27" s="65">
        <v>162560282.88925108</v>
      </c>
      <c r="M27" s="65">
        <v>163002642.42267528</v>
      </c>
      <c r="N27" s="65">
        <v>158183040.8302381</v>
      </c>
      <c r="O27" s="65">
        <v>164110220.11593771</v>
      </c>
      <c r="P27" s="65">
        <v>164896700.82964513</v>
      </c>
      <c r="Q27" s="65">
        <v>159225519.84756005</v>
      </c>
      <c r="R27" s="65">
        <f>AVERAGE(E27:Q27)</f>
        <v>160005259.88847595</v>
      </c>
      <c r="S27" s="1"/>
      <c r="T27" s="3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</row>
    <row r="28" spans="1:69">
      <c r="A28" s="55">
        <f t="shared" si="1"/>
        <v>14</v>
      </c>
      <c r="B28" s="3"/>
      <c r="C28" s="170" t="str">
        <f>+C18</f>
        <v xml:space="preserve">  General &amp; Intangible</v>
      </c>
      <c r="D28" s="1" t="s">
        <v>329</v>
      </c>
      <c r="E28" s="65">
        <v>29306963.765748475</v>
      </c>
      <c r="F28" s="65">
        <v>27100232.295123566</v>
      </c>
      <c r="G28" s="65">
        <v>27359640.172993399</v>
      </c>
      <c r="H28" s="65">
        <v>27228715.573811911</v>
      </c>
      <c r="I28" s="65">
        <v>27443160.103710398</v>
      </c>
      <c r="J28" s="65">
        <v>27099819.583070587</v>
      </c>
      <c r="K28" s="65">
        <v>27147615.095976587</v>
      </c>
      <c r="L28" s="65">
        <v>27410511.089798685</v>
      </c>
      <c r="M28" s="65">
        <v>27652172.651538745</v>
      </c>
      <c r="N28" s="65">
        <v>26610588.211966995</v>
      </c>
      <c r="O28" s="65">
        <v>26839721.543089282</v>
      </c>
      <c r="P28" s="65">
        <v>27026272.780877385</v>
      </c>
      <c r="Q28" s="65">
        <v>27243496.280582614</v>
      </c>
      <c r="R28" s="65">
        <f t="shared" si="3"/>
        <v>27343762.242176048</v>
      </c>
      <c r="S28" s="1"/>
      <c r="T28" s="3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</row>
    <row r="29" spans="1:69">
      <c r="A29" s="55">
        <f t="shared" si="1"/>
        <v>15</v>
      </c>
      <c r="B29" s="3"/>
      <c r="C29" s="170" t="s">
        <v>101</v>
      </c>
      <c r="D29" s="1" t="s">
        <v>330</v>
      </c>
      <c r="E29" s="65">
        <v>1972780</v>
      </c>
      <c r="F29" s="65">
        <v>2324408.9676350257</v>
      </c>
      <c r="G29" s="65">
        <v>2502715.8733330867</v>
      </c>
      <c r="H29" s="65">
        <v>2598880.6068096831</v>
      </c>
      <c r="I29" s="65">
        <v>2916777.5280511742</v>
      </c>
      <c r="J29" s="65">
        <v>3171390.1560424143</v>
      </c>
      <c r="K29" s="65">
        <v>3261327.0438377452</v>
      </c>
      <c r="L29" s="65">
        <v>3661984.7730747461</v>
      </c>
      <c r="M29" s="65">
        <v>3987205.4693551031</v>
      </c>
      <c r="N29" s="65">
        <v>4307335.6956398217</v>
      </c>
      <c r="O29" s="65">
        <v>4515031.8736785194</v>
      </c>
      <c r="P29" s="65">
        <v>4622590.1072250269</v>
      </c>
      <c r="Q29" s="65">
        <v>4090055.7169254255</v>
      </c>
      <c r="R29" s="65">
        <f t="shared" si="3"/>
        <v>3379421.8316621366</v>
      </c>
      <c r="S29" s="1"/>
      <c r="T29" s="3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</row>
    <row r="30" spans="1:69">
      <c r="A30" s="55">
        <f t="shared" si="1"/>
        <v>16</v>
      </c>
      <c r="B30" s="3"/>
      <c r="C30" s="170" t="str">
        <f>+C20</f>
        <v xml:space="preserve">  Communication System</v>
      </c>
      <c r="D30" s="1" t="s">
        <v>331</v>
      </c>
      <c r="E30" s="65">
        <v>3226526.2548353998</v>
      </c>
      <c r="F30" s="65">
        <v>4946114.3040096676</v>
      </c>
      <c r="G30" s="65">
        <v>4991343.468741335</v>
      </c>
      <c r="H30" s="65">
        <v>5036580.4653970851</v>
      </c>
      <c r="I30" s="65">
        <v>5039008.6967249187</v>
      </c>
      <c r="J30" s="65">
        <v>5084024.8584579183</v>
      </c>
      <c r="K30" s="65">
        <v>5126862.482875335</v>
      </c>
      <c r="L30" s="65">
        <v>5170066.8937685853</v>
      </c>
      <c r="M30" s="65">
        <v>5215021.5010300856</v>
      </c>
      <c r="N30" s="65">
        <v>4289804.8820650019</v>
      </c>
      <c r="O30" s="65">
        <v>4333834.632378418</v>
      </c>
      <c r="P30" s="65">
        <v>4376819.9751260858</v>
      </c>
      <c r="Q30" s="65">
        <v>4419430.1150747519</v>
      </c>
      <c r="R30" s="65">
        <f t="shared" si="3"/>
        <v>4711956.8100372758</v>
      </c>
      <c r="S30" s="1"/>
      <c r="T30" s="3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</row>
    <row r="31" spans="1:69" ht="15.6">
      <c r="A31" s="55">
        <f t="shared" si="1"/>
        <v>17</v>
      </c>
      <c r="B31" s="3"/>
      <c r="C31" s="170" t="str">
        <f>+C21</f>
        <v xml:space="preserve">  Common</v>
      </c>
      <c r="D31" s="1" t="s">
        <v>158</v>
      </c>
      <c r="E31" s="65">
        <v>0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>
        <v>0</v>
      </c>
      <c r="R31" s="65">
        <f t="shared" si="3"/>
        <v>0</v>
      </c>
      <c r="S31" s="1"/>
      <c r="T31" s="284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</row>
    <row r="32" spans="1:69" ht="15.6">
      <c r="A32" s="55">
        <f t="shared" si="1"/>
        <v>18</v>
      </c>
      <c r="B32" s="3"/>
      <c r="C32" s="170" t="s">
        <v>7</v>
      </c>
      <c r="D32" s="1" t="str">
        <f>"(sum lines "&amp;A25&amp;" - "&amp;A31&amp;")"</f>
        <v>(sum lines 11 - 17)</v>
      </c>
      <c r="E32" s="88">
        <f>SUM(E25:E31)</f>
        <v>451687143.53470534</v>
      </c>
      <c r="F32" s="88">
        <f t="shared" ref="F32:R32" si="4">SUM(F25:F31)</f>
        <v>463050199.86322188</v>
      </c>
      <c r="G32" s="88">
        <f t="shared" si="4"/>
        <v>466422405.94413733</v>
      </c>
      <c r="H32" s="88">
        <f t="shared" si="4"/>
        <v>458624661.77881676</v>
      </c>
      <c r="I32" s="88">
        <f t="shared" si="4"/>
        <v>471940258.7966457</v>
      </c>
      <c r="J32" s="88">
        <f t="shared" si="4"/>
        <v>474404615.44017917</v>
      </c>
      <c r="K32" s="88">
        <f t="shared" si="4"/>
        <v>464825683.2038998</v>
      </c>
      <c r="L32" s="88">
        <f t="shared" si="4"/>
        <v>478593990.66855985</v>
      </c>
      <c r="M32" s="88">
        <f t="shared" si="4"/>
        <v>481498916.67925906</v>
      </c>
      <c r="N32" s="88">
        <f t="shared" si="4"/>
        <v>464717438.47299457</v>
      </c>
      <c r="O32" s="88">
        <f>SUM(O25:O31)</f>
        <v>483654444.59226006</v>
      </c>
      <c r="P32" s="88">
        <f>SUM(P25:P31)</f>
        <v>485922636.16388768</v>
      </c>
      <c r="Q32" s="88">
        <f>SUM(Q25:Q31)</f>
        <v>469553368.31323659</v>
      </c>
      <c r="R32" s="88">
        <f t="shared" si="4"/>
        <v>470376597.18860018</v>
      </c>
      <c r="S32" s="1"/>
      <c r="T32" s="284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</row>
    <row r="33" spans="1:69">
      <c r="A33" s="55">
        <f t="shared" si="1"/>
        <v>19</v>
      </c>
      <c r="B33" s="3"/>
      <c r="C33" s="3"/>
      <c r="D33" s="1" t="s">
        <v>133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1"/>
      <c r="T33" s="1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</row>
    <row r="34" spans="1:69">
      <c r="A34" s="55">
        <f t="shared" si="1"/>
        <v>20</v>
      </c>
      <c r="B34" s="3"/>
      <c r="C34" s="170" t="s">
        <v>161</v>
      </c>
      <c r="D34" s="1" t="s">
        <v>316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1"/>
      <c r="T34" s="1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</row>
    <row r="35" spans="1:69" ht="15.6">
      <c r="A35" s="55">
        <f t="shared" si="1"/>
        <v>21</v>
      </c>
      <c r="B35" s="3"/>
      <c r="C35" s="170" t="str">
        <f>+C25</f>
        <v xml:space="preserve">  Production</v>
      </c>
      <c r="D35" s="1" t="str">
        <f t="shared" ref="D35:D41" si="5">"(line "&amp;A15&amp;" - line "&amp;A25&amp;")"</f>
        <v>(line 1 - line 11)</v>
      </c>
      <c r="E35" s="65">
        <f t="shared" ref="E35:E41" si="6">+E15-E25</f>
        <v>444801570.51397479</v>
      </c>
      <c r="F35" s="65">
        <f t="shared" ref="F35:Q35" si="7">+F15-F25</f>
        <v>443128443.33652157</v>
      </c>
      <c r="G35" s="65">
        <f t="shared" si="7"/>
        <v>442202150.0984652</v>
      </c>
      <c r="H35" s="65">
        <f t="shared" si="7"/>
        <v>440730468.63818121</v>
      </c>
      <c r="I35" s="65">
        <f t="shared" si="7"/>
        <v>437620044.07335234</v>
      </c>
      <c r="J35" s="65">
        <f t="shared" si="7"/>
        <v>436661250.9118824</v>
      </c>
      <c r="K35" s="65">
        <f t="shared" si="7"/>
        <v>435175452.14174491</v>
      </c>
      <c r="L35" s="65">
        <f t="shared" si="7"/>
        <v>437377948.96514535</v>
      </c>
      <c r="M35" s="65">
        <f t="shared" si="7"/>
        <v>444937890.16775429</v>
      </c>
      <c r="N35" s="65">
        <f t="shared" si="7"/>
        <v>442741913.26937282</v>
      </c>
      <c r="O35" s="65">
        <f t="shared" si="7"/>
        <v>443824892.6795733</v>
      </c>
      <c r="P35" s="65">
        <f t="shared" si="7"/>
        <v>444107113.34763527</v>
      </c>
      <c r="Q35" s="65">
        <f t="shared" si="7"/>
        <v>459187914.68792307</v>
      </c>
      <c r="R35" s="65">
        <f>R15-R25</f>
        <v>442499773.29473293</v>
      </c>
      <c r="S35" s="1"/>
      <c r="T35" s="284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</row>
    <row r="36" spans="1:69" ht="15.6">
      <c r="A36" s="55">
        <f t="shared" si="1"/>
        <v>22</v>
      </c>
      <c r="B36" s="3"/>
      <c r="C36" s="170" t="s">
        <v>153</v>
      </c>
      <c r="D36" s="1" t="str">
        <f t="shared" si="5"/>
        <v>(line 2 - line 12)</v>
      </c>
      <c r="E36" s="65">
        <f t="shared" si="6"/>
        <v>196752776.66943872</v>
      </c>
      <c r="F36" s="65">
        <f t="shared" ref="F36:Q41" si="8">+F16-F26</f>
        <v>196947167.05942422</v>
      </c>
      <c r="G36" s="65">
        <f t="shared" si="8"/>
        <v>196047581.12894875</v>
      </c>
      <c r="H36" s="65">
        <f t="shared" si="8"/>
        <v>195674122.819646</v>
      </c>
      <c r="I36" s="65">
        <f t="shared" si="8"/>
        <v>197803639.57609233</v>
      </c>
      <c r="J36" s="65">
        <f t="shared" si="8"/>
        <v>204073803.33469141</v>
      </c>
      <c r="K36" s="65">
        <f t="shared" si="8"/>
        <v>203828653.93809527</v>
      </c>
      <c r="L36" s="65">
        <f t="shared" si="8"/>
        <v>203042044.79218805</v>
      </c>
      <c r="M36" s="65">
        <f t="shared" si="8"/>
        <v>202980097.70758605</v>
      </c>
      <c r="N36" s="65">
        <f t="shared" si="8"/>
        <v>202618241.82754248</v>
      </c>
      <c r="O36" s="65">
        <f t="shared" si="8"/>
        <v>202335412.41325045</v>
      </c>
      <c r="P36" s="65">
        <f t="shared" si="8"/>
        <v>201696366.25135091</v>
      </c>
      <c r="Q36" s="65">
        <f t="shared" si="8"/>
        <v>206473222.89898318</v>
      </c>
      <c r="R36" s="65">
        <f t="shared" ref="R36:R41" si="9">R16-R26</f>
        <v>200790240.80132601</v>
      </c>
      <c r="S36" s="1"/>
      <c r="T36" s="284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</row>
    <row r="37" spans="1:69" ht="15.6">
      <c r="A37" s="55">
        <f t="shared" si="1"/>
        <v>23</v>
      </c>
      <c r="B37" s="3"/>
      <c r="C37" s="170" t="s">
        <v>234</v>
      </c>
      <c r="D37" s="1" t="str">
        <f t="shared" si="5"/>
        <v>(line 3 - line 13)</v>
      </c>
      <c r="E37" s="65">
        <f t="shared" si="6"/>
        <v>318803747.99246502</v>
      </c>
      <c r="F37" s="65">
        <f t="shared" si="8"/>
        <v>319067730.75760055</v>
      </c>
      <c r="G37" s="65">
        <f t="shared" si="8"/>
        <v>321107498.4135164</v>
      </c>
      <c r="H37" s="65">
        <f t="shared" si="8"/>
        <v>321662828.37937462</v>
      </c>
      <c r="I37" s="65">
        <f t="shared" si="8"/>
        <v>315550282.37239587</v>
      </c>
      <c r="J37" s="65">
        <f t="shared" si="8"/>
        <v>315560931.84081793</v>
      </c>
      <c r="K37" s="65">
        <f t="shared" si="8"/>
        <v>316169603.21894968</v>
      </c>
      <c r="L37" s="65">
        <f t="shared" si="8"/>
        <v>319130262.870749</v>
      </c>
      <c r="M37" s="65">
        <f t="shared" si="8"/>
        <v>321031133.42732465</v>
      </c>
      <c r="N37" s="65">
        <f t="shared" si="8"/>
        <v>325098878.82976192</v>
      </c>
      <c r="O37" s="65">
        <f t="shared" si="8"/>
        <v>325032585.84406245</v>
      </c>
      <c r="P37" s="65">
        <f t="shared" si="8"/>
        <v>325033245.72035491</v>
      </c>
      <c r="Q37" s="65">
        <f t="shared" si="8"/>
        <v>328467929.66244</v>
      </c>
      <c r="R37" s="65">
        <f t="shared" si="9"/>
        <v>320901281.48690873</v>
      </c>
      <c r="S37" s="1"/>
      <c r="T37" s="284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</row>
    <row r="38" spans="1:69" ht="15.6">
      <c r="A38" s="55">
        <f t="shared" si="1"/>
        <v>24</v>
      </c>
      <c r="B38" s="3"/>
      <c r="C38" s="170" t="str">
        <f>+C28</f>
        <v xml:space="preserve">  General &amp; Intangible</v>
      </c>
      <c r="D38" s="1" t="str">
        <f t="shared" si="5"/>
        <v>(line 4 - line 14)</v>
      </c>
      <c r="E38" s="65">
        <f t="shared" si="6"/>
        <v>31182167.744251531</v>
      </c>
      <c r="F38" s="65">
        <f t="shared" si="8"/>
        <v>34070087.204876408</v>
      </c>
      <c r="G38" s="65">
        <f t="shared" si="8"/>
        <v>33983516.907006554</v>
      </c>
      <c r="H38" s="65">
        <f t="shared" si="8"/>
        <v>34836957.036188073</v>
      </c>
      <c r="I38" s="65">
        <f t="shared" si="8"/>
        <v>34878152.676289558</v>
      </c>
      <c r="J38" s="65">
        <f t="shared" si="8"/>
        <v>34793841.366929382</v>
      </c>
      <c r="K38" s="65">
        <f t="shared" si="8"/>
        <v>34978453.754023388</v>
      </c>
      <c r="L38" s="65">
        <f t="shared" si="8"/>
        <v>34591627.650201306</v>
      </c>
      <c r="M38" s="65">
        <f t="shared" si="8"/>
        <v>34406124.718461245</v>
      </c>
      <c r="N38" s="65">
        <f t="shared" si="8"/>
        <v>34182072.788032994</v>
      </c>
      <c r="O38" s="65">
        <f t="shared" si="8"/>
        <v>35395506.086910695</v>
      </c>
      <c r="P38" s="65">
        <f t="shared" si="8"/>
        <v>34727368.029122606</v>
      </c>
      <c r="Q38" s="65">
        <f t="shared" si="8"/>
        <v>34210099.969417386</v>
      </c>
      <c r="R38" s="65">
        <f t="shared" si="9"/>
        <v>34325844.30243931</v>
      </c>
      <c r="S38" s="1"/>
      <c r="T38" s="284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</row>
    <row r="39" spans="1:69" ht="15.6">
      <c r="A39" s="55">
        <f t="shared" si="1"/>
        <v>25</v>
      </c>
      <c r="B39" s="3"/>
      <c r="C39" s="170" t="s">
        <v>101</v>
      </c>
      <c r="D39" s="1" t="str">
        <f t="shared" si="5"/>
        <v>(line 5 - line 15)</v>
      </c>
      <c r="E39" s="65">
        <f t="shared" si="6"/>
        <v>24053742</v>
      </c>
      <c r="F39" s="65">
        <f t="shared" si="8"/>
        <v>23747595.032364976</v>
      </c>
      <c r="G39" s="65">
        <f t="shared" si="8"/>
        <v>23558347.126666915</v>
      </c>
      <c r="H39" s="65">
        <f t="shared" si="8"/>
        <v>23548717.393190317</v>
      </c>
      <c r="I39" s="65">
        <f t="shared" si="8"/>
        <v>23319984.471948825</v>
      </c>
      <c r="J39" s="65">
        <f t="shared" si="8"/>
        <v>23153999.843957584</v>
      </c>
      <c r="K39" s="65">
        <f t="shared" si="8"/>
        <v>22918632.956162255</v>
      </c>
      <c r="L39" s="65">
        <f t="shared" si="8"/>
        <v>22578801.226925254</v>
      </c>
      <c r="M39" s="65">
        <f t="shared" si="8"/>
        <v>23117676.530644897</v>
      </c>
      <c r="N39" s="65">
        <f t="shared" si="8"/>
        <v>23373146.304360177</v>
      </c>
      <c r="O39" s="65">
        <f t="shared" si="8"/>
        <v>23157758.12632148</v>
      </c>
      <c r="P39" s="65">
        <f t="shared" si="8"/>
        <v>23473335.892774973</v>
      </c>
      <c r="Q39" s="65">
        <f t="shared" si="8"/>
        <v>24333836.619506575</v>
      </c>
      <c r="R39" s="65">
        <f t="shared" si="9"/>
        <v>23410428.732678786</v>
      </c>
      <c r="S39" s="1"/>
      <c r="T39" s="284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</row>
    <row r="40" spans="1:69" ht="15.6">
      <c r="A40" s="55">
        <f t="shared" si="1"/>
        <v>26</v>
      </c>
      <c r="B40" s="3"/>
      <c r="C40" s="170" t="str">
        <f>+C30</f>
        <v xml:space="preserve">  Communication System</v>
      </c>
      <c r="D40" s="1" t="str">
        <f t="shared" si="5"/>
        <v>(line 6 - line 16)</v>
      </c>
      <c r="E40" s="65">
        <f t="shared" si="6"/>
        <v>4051528.2051646011</v>
      </c>
      <c r="F40" s="65">
        <f t="shared" si="8"/>
        <v>2331951.4959903313</v>
      </c>
      <c r="G40" s="65">
        <f t="shared" si="8"/>
        <v>2286722.3312586639</v>
      </c>
      <c r="H40" s="65">
        <f t="shared" si="8"/>
        <v>2243566.1246029148</v>
      </c>
      <c r="I40" s="65">
        <f t="shared" si="8"/>
        <v>2204990.0432750816</v>
      </c>
      <c r="J40" s="65">
        <f t="shared" si="8"/>
        <v>2159986.7015420822</v>
      </c>
      <c r="K40" s="65">
        <f t="shared" si="8"/>
        <v>2114989.5071246643</v>
      </c>
      <c r="L40" s="65">
        <f t="shared" si="8"/>
        <v>2066323.1962314146</v>
      </c>
      <c r="M40" s="65">
        <f t="shared" si="8"/>
        <v>2021485.6789699141</v>
      </c>
      <c r="N40" s="65">
        <f t="shared" si="8"/>
        <v>2545672.207934998</v>
      </c>
      <c r="O40" s="65">
        <f t="shared" si="8"/>
        <v>2710888.0776215829</v>
      </c>
      <c r="P40" s="65">
        <f t="shared" si="8"/>
        <v>2482274.9448739141</v>
      </c>
      <c r="Q40" s="65">
        <f>+Q20-Q30</f>
        <v>2442798.1249252483</v>
      </c>
      <c r="R40" s="65">
        <f t="shared" si="9"/>
        <v>2435628.9722704152</v>
      </c>
      <c r="S40" s="1"/>
      <c r="T40" s="284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</row>
    <row r="41" spans="1:69" ht="15.6">
      <c r="A41" s="55">
        <f t="shared" si="1"/>
        <v>27</v>
      </c>
      <c r="B41" s="3"/>
      <c r="C41" s="170" t="str">
        <f>+C31</f>
        <v xml:space="preserve">  Common</v>
      </c>
      <c r="D41" s="1" t="str">
        <f t="shared" si="5"/>
        <v>(line 7 - line 17)</v>
      </c>
      <c r="E41" s="65">
        <f t="shared" si="6"/>
        <v>0</v>
      </c>
      <c r="F41" s="65">
        <f t="shared" si="8"/>
        <v>0</v>
      </c>
      <c r="G41" s="65">
        <f t="shared" si="8"/>
        <v>0</v>
      </c>
      <c r="H41" s="65">
        <f t="shared" si="8"/>
        <v>0</v>
      </c>
      <c r="I41" s="65">
        <f t="shared" si="8"/>
        <v>0</v>
      </c>
      <c r="J41" s="65">
        <f t="shared" si="8"/>
        <v>0</v>
      </c>
      <c r="K41" s="65">
        <f t="shared" si="8"/>
        <v>0</v>
      </c>
      <c r="L41" s="65">
        <f t="shared" si="8"/>
        <v>0</v>
      </c>
      <c r="M41" s="65">
        <f t="shared" si="8"/>
        <v>0</v>
      </c>
      <c r="N41" s="65">
        <f t="shared" si="8"/>
        <v>0</v>
      </c>
      <c r="O41" s="65">
        <f t="shared" si="8"/>
        <v>0</v>
      </c>
      <c r="P41" s="65">
        <f t="shared" si="8"/>
        <v>0</v>
      </c>
      <c r="Q41" s="65">
        <f t="shared" si="8"/>
        <v>0</v>
      </c>
      <c r="R41" s="86">
        <f t="shared" si="9"/>
        <v>0</v>
      </c>
      <c r="S41" s="1"/>
      <c r="T41" s="284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</row>
    <row r="42" spans="1:69" ht="15.6">
      <c r="A42" s="55">
        <f t="shared" si="1"/>
        <v>28</v>
      </c>
      <c r="B42" s="3"/>
      <c r="C42" s="170" t="s">
        <v>6</v>
      </c>
      <c r="D42" s="1" t="str">
        <f>"(sum lines "&amp;A35&amp;" - "&amp;A41&amp;")"</f>
        <v>(sum lines 21 - 27)</v>
      </c>
      <c r="E42" s="88">
        <f>SUM(E35:E41)</f>
        <v>1019645533.1252946</v>
      </c>
      <c r="F42" s="88">
        <f t="shared" ref="F42:Q42" si="10">SUM(F35:F41)</f>
        <v>1019292974.886778</v>
      </c>
      <c r="G42" s="88">
        <f t="shared" si="10"/>
        <v>1019185816.0058624</v>
      </c>
      <c r="H42" s="88">
        <f t="shared" si="10"/>
        <v>1018696660.3911831</v>
      </c>
      <c r="I42" s="88">
        <f t="shared" si="10"/>
        <v>1011377093.2133541</v>
      </c>
      <c r="J42" s="88">
        <f t="shared" si="10"/>
        <v>1016403813.9998208</v>
      </c>
      <c r="K42" s="88">
        <f t="shared" si="10"/>
        <v>1015185785.5161002</v>
      </c>
      <c r="L42" s="88">
        <f t="shared" si="10"/>
        <v>1018787008.7014403</v>
      </c>
      <c r="M42" s="88">
        <f t="shared" si="10"/>
        <v>1028494408.230741</v>
      </c>
      <c r="N42" s="88">
        <f t="shared" si="10"/>
        <v>1030559925.2270054</v>
      </c>
      <c r="O42" s="88">
        <f t="shared" si="10"/>
        <v>1032457043.2277399</v>
      </c>
      <c r="P42" s="88">
        <f t="shared" si="10"/>
        <v>1031519704.1861125</v>
      </c>
      <c r="Q42" s="88">
        <f t="shared" si="10"/>
        <v>1055115801.9631954</v>
      </c>
      <c r="R42" s="88">
        <f>SUM(R35:R41)</f>
        <v>1024363197.5903562</v>
      </c>
      <c r="S42" s="1"/>
      <c r="T42" s="284"/>
      <c r="U42" s="285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</row>
    <row r="43" spans="1:69">
      <c r="A43" s="55"/>
      <c r="B43" s="3"/>
      <c r="C43" s="170"/>
      <c r="D43" s="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1"/>
      <c r="T43" s="286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</row>
    <row r="44" spans="1:69">
      <c r="A44" s="55"/>
      <c r="B44" s="3"/>
      <c r="C44" s="170" t="s">
        <v>317</v>
      </c>
      <c r="D44" s="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1"/>
      <c r="T44" s="286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</row>
    <row r="45" spans="1:69" ht="17.399999999999999">
      <c r="A45" s="55"/>
      <c r="B45" s="3"/>
      <c r="C45" s="171" t="s">
        <v>318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86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</row>
    <row r="46" spans="1:69">
      <c r="A46" s="55"/>
      <c r="B46" s="3"/>
      <c r="C46" s="17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86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</row>
    <row r="47" spans="1:69" ht="22.8">
      <c r="A47" s="55"/>
      <c r="B47" s="3"/>
      <c r="C47" s="170"/>
      <c r="D47" s="1"/>
      <c r="E47" s="307" t="s">
        <v>394</v>
      </c>
      <c r="F47" s="1"/>
      <c r="G47" s="1"/>
      <c r="H47" s="1"/>
      <c r="I47" s="287"/>
      <c r="J47" s="1"/>
      <c r="K47" s="1"/>
      <c r="L47" s="1"/>
      <c r="M47" s="1"/>
      <c r="N47" s="1"/>
      <c r="O47" s="1"/>
      <c r="P47" s="1"/>
      <c r="Q47" s="1"/>
      <c r="R47" s="1"/>
      <c r="S47" s="1"/>
      <c r="T47" s="286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</row>
    <row r="48" spans="1:69">
      <c r="A48" s="55">
        <f>+A42+1</f>
        <v>29</v>
      </c>
      <c r="B48" s="3"/>
      <c r="C48" s="3"/>
      <c r="D48" s="1"/>
      <c r="E48" s="129" t="s">
        <v>15</v>
      </c>
      <c r="F48" s="129" t="s">
        <v>16</v>
      </c>
      <c r="G48" s="129" t="s">
        <v>17</v>
      </c>
      <c r="H48" s="1"/>
      <c r="I48" s="1"/>
      <c r="J48" s="1"/>
      <c r="K48" s="1"/>
      <c r="L48" s="1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</row>
    <row r="49" spans="1:62">
      <c r="A49" s="55">
        <f t="shared" si="1"/>
        <v>30</v>
      </c>
      <c r="B49" s="3"/>
      <c r="C49" s="171" t="s">
        <v>380</v>
      </c>
      <c r="D49" s="1"/>
      <c r="E49" s="306">
        <v>44166</v>
      </c>
      <c r="F49" s="306">
        <v>44531</v>
      </c>
      <c r="G49" s="1" t="s">
        <v>29</v>
      </c>
      <c r="H49" s="1"/>
      <c r="I49" s="1"/>
      <c r="J49" s="1"/>
      <c r="K49" s="1"/>
      <c r="L49" s="1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</row>
    <row r="50" spans="1:62">
      <c r="A50" s="55">
        <f t="shared" si="1"/>
        <v>31</v>
      </c>
      <c r="B50" s="3"/>
      <c r="C50" s="170" t="s">
        <v>207</v>
      </c>
      <c r="D50" s="1" t="s">
        <v>307</v>
      </c>
      <c r="E50" s="65">
        <v>0</v>
      </c>
      <c r="F50" s="65">
        <v>0</v>
      </c>
      <c r="G50" s="65">
        <f t="shared" ref="G50:G55" si="11">(+E50+F50)/2</f>
        <v>0</v>
      </c>
      <c r="H50" s="1"/>
      <c r="I50" s="1"/>
      <c r="J50" s="1"/>
      <c r="K50" s="1"/>
      <c r="L50" s="190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</row>
    <row r="51" spans="1:62">
      <c r="A51" s="55">
        <f t="shared" si="1"/>
        <v>32</v>
      </c>
      <c r="B51" s="3"/>
      <c r="C51" s="170" t="s">
        <v>208</v>
      </c>
      <c r="D51" s="1" t="s">
        <v>308</v>
      </c>
      <c r="E51" s="65">
        <v>-134794823.62025249</v>
      </c>
      <c r="F51" s="65">
        <v>-139177648.637586</v>
      </c>
      <c r="G51" s="65">
        <f t="shared" si="11"/>
        <v>-136986236.12891924</v>
      </c>
      <c r="H51" s="1"/>
      <c r="I51" s="1"/>
      <c r="J51" s="1"/>
      <c r="K51" s="1"/>
      <c r="L51" s="129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</row>
    <row r="52" spans="1:62" ht="15.6">
      <c r="A52" s="55">
        <f t="shared" si="1"/>
        <v>33</v>
      </c>
      <c r="B52" s="3"/>
      <c r="C52" s="170" t="s">
        <v>209</v>
      </c>
      <c r="D52" s="1" t="s">
        <v>309</v>
      </c>
      <c r="E52" s="86">
        <v>-17983096</v>
      </c>
      <c r="F52" s="86">
        <v>-18955496</v>
      </c>
      <c r="G52" s="65">
        <f t="shared" si="11"/>
        <v>-18469296</v>
      </c>
      <c r="H52" s="1"/>
      <c r="I52" s="287"/>
      <c r="J52" s="1"/>
      <c r="K52" s="1"/>
      <c r="L52" s="190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</row>
    <row r="53" spans="1:62">
      <c r="A53" s="55">
        <f t="shared" si="1"/>
        <v>34</v>
      </c>
      <c r="B53" s="3"/>
      <c r="C53" s="170" t="s">
        <v>211</v>
      </c>
      <c r="D53" s="1" t="s">
        <v>310</v>
      </c>
      <c r="E53" s="86">
        <v>37982694</v>
      </c>
      <c r="F53" s="86">
        <v>37495191</v>
      </c>
      <c r="G53" s="65">
        <f t="shared" si="11"/>
        <v>37738942.5</v>
      </c>
      <c r="H53" s="1"/>
      <c r="I53" s="1"/>
      <c r="J53" s="1"/>
      <c r="K53" s="1"/>
      <c r="L53" s="190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</row>
    <row r="54" spans="1:62" ht="15.6">
      <c r="A54" s="55">
        <f t="shared" si="1"/>
        <v>35</v>
      </c>
      <c r="B54" s="3"/>
      <c r="C54" s="3" t="s">
        <v>210</v>
      </c>
      <c r="D54" s="1" t="s">
        <v>311</v>
      </c>
      <c r="E54" s="86">
        <v>0</v>
      </c>
      <c r="F54" s="86">
        <v>0</v>
      </c>
      <c r="G54" s="65">
        <f t="shared" si="11"/>
        <v>0</v>
      </c>
      <c r="H54" s="263"/>
      <c r="I54" s="287"/>
      <c r="J54" s="1"/>
      <c r="K54" s="1"/>
      <c r="L54" s="288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</row>
    <row r="55" spans="1:62">
      <c r="A55" s="55">
        <f t="shared" si="1"/>
        <v>36</v>
      </c>
      <c r="B55" s="3"/>
      <c r="C55" s="170" t="s">
        <v>230</v>
      </c>
      <c r="D55" s="3" t="s">
        <v>375</v>
      </c>
      <c r="E55" s="130">
        <v>-93343907.373960704</v>
      </c>
      <c r="F55" s="130">
        <v>-93343907.373960704</v>
      </c>
      <c r="G55" s="130">
        <f t="shared" si="11"/>
        <v>-93343907.373960704</v>
      </c>
      <c r="H55" s="1"/>
      <c r="I55" s="1"/>
      <c r="J55" s="1"/>
      <c r="K55" s="1"/>
      <c r="L55" s="190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</row>
    <row r="56" spans="1:62" ht="15.6">
      <c r="A56" s="55">
        <f t="shared" si="1"/>
        <v>37</v>
      </c>
      <c r="B56" s="3"/>
      <c r="C56" s="170" t="s">
        <v>8</v>
      </c>
      <c r="D56" s="1" t="str">
        <f>"(sum lines "&amp;A50&amp;" - "&amp;A55&amp;")"</f>
        <v>(sum lines 31 - 36)</v>
      </c>
      <c r="E56" s="65">
        <f>SUM(E50:E55)</f>
        <v>-208139132.99421319</v>
      </c>
      <c r="F56" s="65">
        <f>SUM(F50:F55)</f>
        <v>-213981861.0115467</v>
      </c>
      <c r="G56" s="65">
        <f>SUM(G50:G55)</f>
        <v>-211060497.00287995</v>
      </c>
      <c r="H56" s="1"/>
      <c r="I56" s="287"/>
      <c r="J56" s="1"/>
      <c r="K56" s="1"/>
      <c r="L56" s="289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</row>
    <row r="57" spans="1:62">
      <c r="A57" s="55">
        <f t="shared" si="1"/>
        <v>38</v>
      </c>
      <c r="B57" s="3"/>
      <c r="C57" s="3"/>
      <c r="D57" s="1"/>
      <c r="E57" s="65"/>
      <c r="F57" s="65"/>
      <c r="G57" s="65"/>
      <c r="H57" s="1"/>
      <c r="I57" s="1"/>
      <c r="J57" s="1"/>
      <c r="K57" s="1"/>
      <c r="L57" s="1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</row>
    <row r="58" spans="1:62" ht="15.6">
      <c r="A58" s="55">
        <f t="shared" si="1"/>
        <v>39</v>
      </c>
      <c r="B58" s="3"/>
      <c r="C58" s="171" t="s">
        <v>168</v>
      </c>
      <c r="D58" s="1" t="s">
        <v>377</v>
      </c>
      <c r="E58" s="65"/>
      <c r="F58" s="65"/>
      <c r="G58" s="65">
        <f>(+E58+F58)/2</f>
        <v>0</v>
      </c>
      <c r="H58" s="1"/>
      <c r="I58" s="287"/>
      <c r="J58" s="1"/>
      <c r="K58" s="1"/>
      <c r="L58" s="290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</row>
    <row r="59" spans="1:62">
      <c r="A59" s="55">
        <f t="shared" si="1"/>
        <v>40</v>
      </c>
      <c r="B59" s="3"/>
      <c r="C59" s="170"/>
      <c r="D59" s="1"/>
      <c r="E59" s="65"/>
      <c r="F59" s="65"/>
      <c r="G59" s="65"/>
      <c r="H59" s="1"/>
      <c r="I59" s="1"/>
      <c r="J59" s="1"/>
      <c r="K59" s="1"/>
      <c r="L59" s="1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</row>
    <row r="60" spans="1:62">
      <c r="A60" s="55">
        <f t="shared" si="1"/>
        <v>41</v>
      </c>
      <c r="B60" s="3"/>
      <c r="C60" s="170" t="s">
        <v>378</v>
      </c>
      <c r="D60" s="1"/>
      <c r="E60" s="65"/>
      <c r="F60" s="65"/>
      <c r="G60" s="65"/>
      <c r="H60" s="1"/>
      <c r="I60" s="1"/>
      <c r="J60" s="1"/>
      <c r="K60" s="1"/>
      <c r="L60" s="1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</row>
    <row r="61" spans="1:62">
      <c r="A61" s="55">
        <f t="shared" si="1"/>
        <v>42</v>
      </c>
      <c r="B61" s="3"/>
      <c r="C61" s="170"/>
      <c r="D61" s="3"/>
      <c r="E61" s="65"/>
      <c r="F61" s="65"/>
      <c r="G61" s="65"/>
      <c r="H61" s="1"/>
      <c r="I61" s="1"/>
      <c r="J61" s="1"/>
      <c r="K61" s="1"/>
      <c r="L61" s="211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</row>
    <row r="62" spans="1:62">
      <c r="A62" s="55">
        <f t="shared" si="1"/>
        <v>43</v>
      </c>
      <c r="B62" s="3"/>
      <c r="C62" s="170" t="s">
        <v>271</v>
      </c>
      <c r="D62" s="1" t="s">
        <v>98</v>
      </c>
      <c r="E62" s="86">
        <v>6109676</v>
      </c>
      <c r="F62" s="86">
        <v>6594612</v>
      </c>
      <c r="G62" s="65">
        <f>(+E62+F62)/2</f>
        <v>6352144</v>
      </c>
      <c r="H62" s="1"/>
      <c r="I62" s="1"/>
      <c r="J62" s="1"/>
      <c r="K62" s="1"/>
      <c r="L62" s="211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</row>
    <row r="63" spans="1:62">
      <c r="A63" s="55">
        <f t="shared" si="1"/>
        <v>44</v>
      </c>
      <c r="B63" s="3"/>
      <c r="C63" s="170" t="s">
        <v>271</v>
      </c>
      <c r="D63" s="1" t="s">
        <v>97</v>
      </c>
      <c r="E63" s="86">
        <v>20816</v>
      </c>
      <c r="F63" s="86">
        <v>21348.083873841406</v>
      </c>
      <c r="G63" s="65">
        <f>(+E63+F63)/2</f>
        <v>21082.041936920701</v>
      </c>
      <c r="H63" s="1"/>
      <c r="I63" s="1"/>
      <c r="J63" s="1"/>
      <c r="K63" s="1"/>
      <c r="L63" s="211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</row>
    <row r="64" spans="1:62">
      <c r="A64" s="55">
        <f t="shared" si="1"/>
        <v>45</v>
      </c>
      <c r="B64" s="3"/>
      <c r="C64" s="170" t="s">
        <v>212</v>
      </c>
      <c r="D64" s="1" t="s">
        <v>40</v>
      </c>
      <c r="E64" s="86">
        <v>3140099</v>
      </c>
      <c r="F64" s="86">
        <v>4525712</v>
      </c>
      <c r="G64" s="65">
        <f>(+E64+F64)/2</f>
        <v>3832905.5</v>
      </c>
      <c r="H64" s="1"/>
      <c r="I64" s="1"/>
      <c r="J64" s="1"/>
      <c r="K64" s="1"/>
      <c r="L64" s="211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</row>
    <row r="65" spans="1:62" ht="15.6">
      <c r="A65" s="55">
        <f t="shared" si="1"/>
        <v>46</v>
      </c>
      <c r="B65" s="3"/>
      <c r="C65" s="170" t="s">
        <v>9</v>
      </c>
      <c r="D65" s="1" t="str">
        <f>"(sum lines "&amp;A61&amp;" - "&amp;A64&amp;")"</f>
        <v>(sum lines 42 - 45)</v>
      </c>
      <c r="E65" s="88">
        <f>SUM(E62:E64)</f>
        <v>9270591</v>
      </c>
      <c r="F65" s="88">
        <f>SUM(F62:F64)</f>
        <v>11141672.083873842</v>
      </c>
      <c r="G65" s="88">
        <f>SUM(G62:G64)</f>
        <v>10206131.541936921</v>
      </c>
      <c r="H65" s="131"/>
      <c r="I65" s="287"/>
      <c r="J65" s="1"/>
      <c r="K65" s="1"/>
      <c r="L65" s="289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</row>
  </sheetData>
  <mergeCells count="6">
    <mergeCell ref="A4:I4"/>
    <mergeCell ref="A5:I5"/>
    <mergeCell ref="A7:I7"/>
    <mergeCell ref="J4:R4"/>
    <mergeCell ref="J5:R5"/>
    <mergeCell ref="J7:R7"/>
  </mergeCells>
  <phoneticPr fontId="14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92D050"/>
    <pageSetUpPr fitToPage="1"/>
  </sheetPr>
  <dimension ref="A1:R59"/>
  <sheetViews>
    <sheetView zoomScaleNormal="100" workbookViewId="0">
      <selection activeCell="H18" sqref="H18"/>
    </sheetView>
  </sheetViews>
  <sheetFormatPr defaultColWidth="7.08984375" defaultRowHeight="13.2"/>
  <cols>
    <col min="1" max="1" width="4.81640625" style="33" customWidth="1"/>
    <col min="2" max="2" width="15.7265625" style="33" customWidth="1"/>
    <col min="3" max="3" width="7.08984375" style="33" customWidth="1"/>
    <col min="4" max="4" width="8.81640625" style="33" customWidth="1"/>
    <col min="5" max="5" width="7.81640625" style="33" customWidth="1"/>
    <col min="6" max="6" width="7.7265625" style="33" customWidth="1"/>
    <col min="7" max="7" width="10.26953125" style="33" customWidth="1"/>
    <col min="8" max="8" width="13" style="33" customWidth="1"/>
    <col min="9" max="9" width="11.81640625" style="33" customWidth="1"/>
    <col min="10" max="10" width="11.54296875" style="33" bestFit="1" customWidth="1"/>
    <col min="11" max="11" width="8" style="33" customWidth="1"/>
    <col min="12" max="16384" width="7.08984375" style="33"/>
  </cols>
  <sheetData>
    <row r="1" spans="1:16">
      <c r="K1" s="27"/>
    </row>
    <row r="2" spans="1:16">
      <c r="B2" s="5"/>
      <c r="C2" s="6"/>
      <c r="D2" s="6"/>
      <c r="E2" s="6"/>
      <c r="F2" s="6"/>
      <c r="G2" s="6"/>
      <c r="H2" s="6"/>
      <c r="J2" s="21" t="s">
        <v>352</v>
      </c>
    </row>
    <row r="3" spans="1:16" ht="15" customHeight="1">
      <c r="A3" s="308" t="s">
        <v>273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6" ht="15" customHeight="1">
      <c r="A4" s="308" t="s">
        <v>43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6">
      <c r="B5" s="5"/>
      <c r="C5" s="6"/>
      <c r="D5" s="28"/>
      <c r="E5" s="6"/>
      <c r="G5" s="6"/>
      <c r="H5" s="6"/>
      <c r="I5" s="6"/>
      <c r="J5" s="6"/>
    </row>
    <row r="6" spans="1:16" ht="18">
      <c r="A6" s="84" t="s">
        <v>135</v>
      </c>
      <c r="B6" s="5"/>
      <c r="C6" s="6"/>
      <c r="D6" s="318" t="s">
        <v>382</v>
      </c>
      <c r="E6" s="319"/>
      <c r="F6" s="319"/>
      <c r="G6" s="319"/>
      <c r="H6" s="320"/>
      <c r="I6" s="6"/>
      <c r="J6" s="6"/>
      <c r="M6" s="277"/>
    </row>
    <row r="7" spans="1:16" ht="13.8" thickBot="1">
      <c r="A7" s="85" t="s">
        <v>136</v>
      </c>
    </row>
    <row r="8" spans="1:16" ht="15">
      <c r="A8" s="82">
        <v>1</v>
      </c>
      <c r="B8" s="31"/>
      <c r="C8" s="32"/>
      <c r="D8" s="68" t="s">
        <v>37</v>
      </c>
      <c r="E8" s="56" t="s">
        <v>60</v>
      </c>
      <c r="F8" s="56" t="s">
        <v>61</v>
      </c>
      <c r="G8" s="57" t="s">
        <v>62</v>
      </c>
      <c r="H8" s="68" t="s">
        <v>103</v>
      </c>
      <c r="I8" s="68" t="s">
        <v>1</v>
      </c>
      <c r="J8" s="56" t="s">
        <v>239</v>
      </c>
      <c r="K8"/>
    </row>
    <row r="9" spans="1:16" ht="15">
      <c r="A9" s="82">
        <f>A8+1</f>
        <v>2</v>
      </c>
      <c r="B9" s="34"/>
      <c r="C9" s="35"/>
      <c r="D9" s="58" t="s">
        <v>239</v>
      </c>
      <c r="E9" s="58" t="s">
        <v>239</v>
      </c>
      <c r="F9" s="58" t="s">
        <v>63</v>
      </c>
      <c r="G9" s="59" t="s">
        <v>64</v>
      </c>
      <c r="H9" s="60" t="s">
        <v>104</v>
      </c>
      <c r="I9" s="60" t="s">
        <v>2</v>
      </c>
      <c r="J9" s="60" t="s">
        <v>75</v>
      </c>
      <c r="K9"/>
    </row>
    <row r="10" spans="1:16" ht="15.6" thickBot="1">
      <c r="A10" s="82">
        <f t="shared" ref="A10:A47" si="0">A9+1</f>
        <v>3</v>
      </c>
      <c r="B10" s="36"/>
      <c r="C10" s="37"/>
      <c r="D10" s="61" t="s">
        <v>65</v>
      </c>
      <c r="E10" s="58" t="s">
        <v>65</v>
      </c>
      <c r="F10" s="61" t="s">
        <v>65</v>
      </c>
      <c r="G10" s="62" t="s">
        <v>65</v>
      </c>
      <c r="H10" s="69" t="s">
        <v>65</v>
      </c>
      <c r="I10" s="69" t="s">
        <v>65</v>
      </c>
      <c r="J10" s="69" t="s">
        <v>76</v>
      </c>
      <c r="K10"/>
    </row>
    <row r="11" spans="1:16" ht="15">
      <c r="A11" s="82">
        <f t="shared" si="0"/>
        <v>4</v>
      </c>
      <c r="B11" s="70" t="s">
        <v>113</v>
      </c>
      <c r="C11" s="71"/>
      <c r="D11" s="293">
        <v>275</v>
      </c>
      <c r="E11" s="133">
        <v>283</v>
      </c>
      <c r="F11" s="294">
        <v>2</v>
      </c>
      <c r="G11" s="133">
        <v>44</v>
      </c>
      <c r="H11" s="57">
        <v>192</v>
      </c>
      <c r="I11" s="293">
        <v>177</v>
      </c>
      <c r="J11" s="134">
        <f t="shared" ref="J11:J22" si="1">SUM(D11:I11)</f>
        <v>973</v>
      </c>
      <c r="K11"/>
      <c r="M11" s="277"/>
      <c r="N11" s="278"/>
      <c r="P11" s="278"/>
    </row>
    <row r="12" spans="1:16" ht="15">
      <c r="A12" s="82">
        <f t="shared" si="0"/>
        <v>5</v>
      </c>
      <c r="B12" s="70" t="s">
        <v>124</v>
      </c>
      <c r="C12" s="72"/>
      <c r="D12" s="295">
        <v>313</v>
      </c>
      <c r="E12" s="134">
        <v>327</v>
      </c>
      <c r="F12" s="296">
        <v>3</v>
      </c>
      <c r="G12" s="134">
        <v>54</v>
      </c>
      <c r="H12" s="59">
        <v>192</v>
      </c>
      <c r="I12" s="295">
        <v>170</v>
      </c>
      <c r="J12" s="134">
        <f t="shared" si="1"/>
        <v>1059</v>
      </c>
      <c r="K12"/>
      <c r="M12" s="277"/>
      <c r="N12" s="278"/>
      <c r="P12" s="278"/>
    </row>
    <row r="13" spans="1:16" ht="15">
      <c r="A13" s="82">
        <f t="shared" si="0"/>
        <v>6</v>
      </c>
      <c r="B13" s="70" t="s">
        <v>125</v>
      </c>
      <c r="C13" s="72"/>
      <c r="D13" s="295">
        <v>288</v>
      </c>
      <c r="E13" s="134">
        <v>289</v>
      </c>
      <c r="F13" s="296">
        <v>2</v>
      </c>
      <c r="G13" s="134">
        <v>48</v>
      </c>
      <c r="H13" s="59">
        <v>192</v>
      </c>
      <c r="I13" s="295">
        <v>173</v>
      </c>
      <c r="J13" s="134">
        <f t="shared" si="1"/>
        <v>992</v>
      </c>
      <c r="K13"/>
      <c r="M13" s="277"/>
      <c r="N13" s="278"/>
      <c r="P13" s="278"/>
    </row>
    <row r="14" spans="1:16" ht="15">
      <c r="A14" s="82">
        <f t="shared" si="0"/>
        <v>7</v>
      </c>
      <c r="B14" s="70" t="s">
        <v>129</v>
      </c>
      <c r="C14" s="72"/>
      <c r="D14" s="295">
        <v>271</v>
      </c>
      <c r="E14" s="134">
        <v>295</v>
      </c>
      <c r="F14" s="296">
        <v>3</v>
      </c>
      <c r="G14" s="134">
        <v>51</v>
      </c>
      <c r="H14" s="59">
        <v>192</v>
      </c>
      <c r="I14" s="295">
        <v>177</v>
      </c>
      <c r="J14" s="134">
        <f t="shared" si="1"/>
        <v>989</v>
      </c>
      <c r="K14"/>
      <c r="M14" s="277"/>
      <c r="N14" s="278"/>
      <c r="P14" s="278"/>
    </row>
    <row r="15" spans="1:16" ht="15">
      <c r="A15" s="82">
        <f t="shared" si="0"/>
        <v>8</v>
      </c>
      <c r="B15" s="70" t="s">
        <v>130</v>
      </c>
      <c r="C15" s="72"/>
      <c r="D15" s="295">
        <v>252</v>
      </c>
      <c r="E15" s="134">
        <v>229</v>
      </c>
      <c r="F15" s="296">
        <v>2</v>
      </c>
      <c r="G15" s="134">
        <v>45</v>
      </c>
      <c r="H15" s="59">
        <v>192</v>
      </c>
      <c r="I15" s="295">
        <v>177</v>
      </c>
      <c r="J15" s="134">
        <f t="shared" si="1"/>
        <v>897</v>
      </c>
      <c r="K15"/>
      <c r="M15" s="277"/>
      <c r="N15" s="278"/>
      <c r="P15" s="278"/>
    </row>
    <row r="16" spans="1:16" ht="15">
      <c r="A16" s="82">
        <f t="shared" si="0"/>
        <v>9</v>
      </c>
      <c r="B16" s="70" t="s">
        <v>131</v>
      </c>
      <c r="C16" s="72"/>
      <c r="D16" s="295">
        <v>302</v>
      </c>
      <c r="E16" s="134">
        <v>244</v>
      </c>
      <c r="F16" s="296">
        <v>2</v>
      </c>
      <c r="G16" s="134">
        <v>56</v>
      </c>
      <c r="H16" s="59">
        <v>190</v>
      </c>
      <c r="I16" s="295">
        <v>168</v>
      </c>
      <c r="J16" s="134">
        <f t="shared" si="1"/>
        <v>962</v>
      </c>
      <c r="K16"/>
      <c r="M16" s="277"/>
      <c r="N16" s="278"/>
      <c r="P16" s="278"/>
    </row>
    <row r="17" spans="1:18" ht="15">
      <c r="A17" s="82">
        <f t="shared" si="0"/>
        <v>10</v>
      </c>
      <c r="B17" s="70" t="s">
        <v>126</v>
      </c>
      <c r="C17" s="72"/>
      <c r="D17" s="295">
        <v>398</v>
      </c>
      <c r="E17" s="134">
        <v>266</v>
      </c>
      <c r="F17" s="296">
        <v>3</v>
      </c>
      <c r="G17" s="134">
        <v>79</v>
      </c>
      <c r="H17" s="59">
        <v>190</v>
      </c>
      <c r="I17" s="295">
        <v>164</v>
      </c>
      <c r="J17" s="134">
        <f t="shared" si="1"/>
        <v>1100</v>
      </c>
      <c r="K17"/>
      <c r="M17" s="277"/>
      <c r="N17" s="278"/>
      <c r="P17" s="278"/>
    </row>
    <row r="18" spans="1:18" ht="15">
      <c r="A18" s="82">
        <f t="shared" si="0"/>
        <v>11</v>
      </c>
      <c r="B18" s="70" t="s">
        <v>110</v>
      </c>
      <c r="C18" s="72"/>
      <c r="D18" s="295">
        <v>365</v>
      </c>
      <c r="E18" s="134">
        <v>240</v>
      </c>
      <c r="F18" s="296">
        <v>3</v>
      </c>
      <c r="G18" s="134">
        <v>75</v>
      </c>
      <c r="H18" s="59">
        <v>342</v>
      </c>
      <c r="I18" s="295">
        <v>0</v>
      </c>
      <c r="J18" s="134">
        <f t="shared" si="1"/>
        <v>1025</v>
      </c>
      <c r="K18"/>
      <c r="M18" s="277"/>
      <c r="N18" s="278"/>
      <c r="P18" s="278"/>
    </row>
    <row r="19" spans="1:18" ht="15">
      <c r="A19" s="82">
        <f t="shared" si="0"/>
        <v>12</v>
      </c>
      <c r="B19" s="70" t="s">
        <v>127</v>
      </c>
      <c r="C19" s="72"/>
      <c r="D19" s="295">
        <v>322</v>
      </c>
      <c r="E19" s="134">
        <v>228</v>
      </c>
      <c r="F19" s="296">
        <v>3</v>
      </c>
      <c r="G19" s="134">
        <v>68</v>
      </c>
      <c r="H19" s="59">
        <v>342</v>
      </c>
      <c r="I19" s="295">
        <v>0</v>
      </c>
      <c r="J19" s="134">
        <f t="shared" si="1"/>
        <v>963</v>
      </c>
      <c r="K19"/>
      <c r="M19" s="277"/>
      <c r="N19" s="278"/>
      <c r="P19" s="278"/>
    </row>
    <row r="20" spans="1:18" ht="15">
      <c r="A20" s="82">
        <f t="shared" si="0"/>
        <v>13</v>
      </c>
      <c r="B20" s="70" t="s">
        <v>111</v>
      </c>
      <c r="C20" s="72"/>
      <c r="D20" s="295">
        <v>275</v>
      </c>
      <c r="E20" s="134">
        <v>259</v>
      </c>
      <c r="F20" s="296">
        <v>3</v>
      </c>
      <c r="G20" s="134">
        <v>54</v>
      </c>
      <c r="H20" s="59">
        <v>342</v>
      </c>
      <c r="I20" s="295">
        <v>0</v>
      </c>
      <c r="J20" s="134">
        <f t="shared" si="1"/>
        <v>933</v>
      </c>
      <c r="K20"/>
      <c r="M20" s="277"/>
      <c r="N20" s="278"/>
      <c r="P20" s="278"/>
    </row>
    <row r="21" spans="1:18" ht="15">
      <c r="A21" s="82">
        <f t="shared" si="0"/>
        <v>14</v>
      </c>
      <c r="B21" s="70" t="s">
        <v>112</v>
      </c>
      <c r="C21" s="72"/>
      <c r="D21" s="295">
        <v>301</v>
      </c>
      <c r="E21" s="134">
        <v>271</v>
      </c>
      <c r="F21" s="296">
        <v>3</v>
      </c>
      <c r="G21" s="134">
        <v>63</v>
      </c>
      <c r="H21" s="59">
        <v>342</v>
      </c>
      <c r="I21" s="295">
        <v>0</v>
      </c>
      <c r="J21" s="134">
        <f t="shared" si="1"/>
        <v>980</v>
      </c>
      <c r="K21"/>
      <c r="M21" s="277"/>
      <c r="N21" s="278"/>
      <c r="P21" s="278"/>
    </row>
    <row r="22" spans="1:18" ht="15.6" thickBot="1">
      <c r="A22" s="82">
        <f t="shared" si="0"/>
        <v>15</v>
      </c>
      <c r="B22" s="73" t="s">
        <v>128</v>
      </c>
      <c r="C22" s="74"/>
      <c r="D22" s="297">
        <v>322</v>
      </c>
      <c r="E22" s="135">
        <v>268</v>
      </c>
      <c r="F22" s="298">
        <v>3</v>
      </c>
      <c r="G22" s="135">
        <v>68</v>
      </c>
      <c r="H22" s="135">
        <v>342</v>
      </c>
      <c r="I22" s="297">
        <v>0</v>
      </c>
      <c r="J22" s="135">
        <f t="shared" si="1"/>
        <v>1003</v>
      </c>
      <c r="K22"/>
      <c r="M22" s="277"/>
      <c r="N22" s="278"/>
      <c r="P22" s="278"/>
    </row>
    <row r="23" spans="1:18" ht="15.6" thickBot="1">
      <c r="A23" s="82">
        <f t="shared" si="0"/>
        <v>16</v>
      </c>
      <c r="B23" s="39"/>
      <c r="C23" s="38"/>
      <c r="D23" s="63"/>
      <c r="E23" s="63"/>
      <c r="F23" s="63"/>
      <c r="G23" s="58"/>
      <c r="H23" s="59"/>
      <c r="I23" s="61"/>
      <c r="J23" s="63"/>
      <c r="K23"/>
      <c r="N23" s="278"/>
      <c r="P23" s="278"/>
    </row>
    <row r="24" spans="1:18" ht="15.6" thickBot="1">
      <c r="A24" s="82">
        <f t="shared" si="0"/>
        <v>17</v>
      </c>
      <c r="B24" s="43" t="s">
        <v>82</v>
      </c>
      <c r="C24" s="40"/>
      <c r="D24" s="121">
        <f t="shared" ref="D24:J24" si="2">SUM(D11:D22)/12</f>
        <v>307</v>
      </c>
      <c r="E24" s="121">
        <f t="shared" si="2"/>
        <v>266.58333333333331</v>
      </c>
      <c r="F24" s="121">
        <f t="shared" si="2"/>
        <v>2.6666666666666665</v>
      </c>
      <c r="G24" s="121">
        <f t="shared" si="2"/>
        <v>58.75</v>
      </c>
      <c r="H24" s="121">
        <f>SUM(H11:H22)/12</f>
        <v>254.16666666666666</v>
      </c>
      <c r="I24" s="64">
        <f t="shared" si="2"/>
        <v>100.5</v>
      </c>
      <c r="J24" s="64">
        <f t="shared" si="2"/>
        <v>989.66666666666663</v>
      </c>
      <c r="K24"/>
      <c r="M24" s="277"/>
      <c r="N24" s="278"/>
      <c r="P24" s="278"/>
    </row>
    <row r="25" spans="1:18">
      <c r="A25" s="82">
        <f t="shared" si="0"/>
        <v>18</v>
      </c>
      <c r="D25" s="122"/>
      <c r="E25" s="122"/>
      <c r="F25" s="122"/>
      <c r="G25" s="122"/>
      <c r="H25" s="122"/>
      <c r="L25" s="278"/>
      <c r="M25" s="278"/>
      <c r="N25" s="278"/>
      <c r="O25" s="278"/>
      <c r="P25" s="278"/>
      <c r="Q25" s="278"/>
      <c r="R25" s="278"/>
    </row>
    <row r="26" spans="1:18" ht="18">
      <c r="A26" s="82">
        <f t="shared" si="0"/>
        <v>19</v>
      </c>
      <c r="B26" s="5"/>
      <c r="C26" s="6"/>
      <c r="D26" s="321" t="s">
        <v>383</v>
      </c>
      <c r="E26" s="322"/>
      <c r="F26" s="322"/>
      <c r="G26" s="322"/>
      <c r="H26" s="323"/>
      <c r="I26" s="6"/>
      <c r="M26" s="277"/>
    </row>
    <row r="27" spans="1:18" ht="13.8" thickBot="1">
      <c r="A27" s="82">
        <f t="shared" si="0"/>
        <v>20</v>
      </c>
      <c r="D27" s="122"/>
      <c r="E27" s="122"/>
      <c r="F27" s="122"/>
      <c r="G27" s="122"/>
      <c r="H27" s="122"/>
    </row>
    <row r="28" spans="1:18">
      <c r="A28" s="82">
        <f t="shared" si="0"/>
        <v>21</v>
      </c>
      <c r="B28" s="31"/>
      <c r="C28" s="32"/>
      <c r="D28" s="123" t="s">
        <v>37</v>
      </c>
      <c r="E28" s="96" t="s">
        <v>60</v>
      </c>
      <c r="F28" s="96" t="s">
        <v>61</v>
      </c>
      <c r="G28" s="119" t="s">
        <v>62</v>
      </c>
      <c r="H28" s="123" t="s">
        <v>103</v>
      </c>
      <c r="I28" s="68" t="s">
        <v>1</v>
      </c>
      <c r="J28" s="56" t="s">
        <v>239</v>
      </c>
    </row>
    <row r="29" spans="1:18">
      <c r="A29" s="82">
        <f t="shared" si="0"/>
        <v>22</v>
      </c>
      <c r="B29" s="34"/>
      <c r="C29" s="35"/>
      <c r="D29" s="97" t="s">
        <v>239</v>
      </c>
      <c r="E29" s="97" t="s">
        <v>239</v>
      </c>
      <c r="F29" s="97" t="s">
        <v>63</v>
      </c>
      <c r="G29" s="120" t="s">
        <v>64</v>
      </c>
      <c r="H29" s="124" t="s">
        <v>104</v>
      </c>
      <c r="I29" s="60" t="s">
        <v>2</v>
      </c>
      <c r="J29" s="60" t="s">
        <v>75</v>
      </c>
    </row>
    <row r="30" spans="1:18" ht="13.8" thickBot="1">
      <c r="A30" s="82">
        <f t="shared" si="0"/>
        <v>23</v>
      </c>
      <c r="B30" s="36"/>
      <c r="C30" s="37"/>
      <c r="D30" s="98" t="s">
        <v>65</v>
      </c>
      <c r="E30" s="97" t="s">
        <v>65</v>
      </c>
      <c r="F30" s="98" t="s">
        <v>65</v>
      </c>
      <c r="G30" s="125" t="s">
        <v>65</v>
      </c>
      <c r="H30" s="126" t="s">
        <v>65</v>
      </c>
      <c r="I30" s="69" t="s">
        <v>65</v>
      </c>
      <c r="J30" s="69" t="s">
        <v>76</v>
      </c>
    </row>
    <row r="31" spans="1:18">
      <c r="A31" s="82">
        <f t="shared" si="0"/>
        <v>24</v>
      </c>
      <c r="B31" s="70" t="s">
        <v>113</v>
      </c>
      <c r="C31" s="71"/>
      <c r="D31" s="133">
        <v>330</v>
      </c>
      <c r="E31" s="133">
        <v>269</v>
      </c>
      <c r="F31" s="294">
        <v>3</v>
      </c>
      <c r="G31" s="133">
        <v>71</v>
      </c>
      <c r="H31" s="59">
        <v>342</v>
      </c>
      <c r="I31" s="56">
        <v>0</v>
      </c>
      <c r="J31" s="133">
        <f>SUM(D31:I31)</f>
        <v>1015</v>
      </c>
      <c r="K31" s="38"/>
      <c r="L31" s="45"/>
      <c r="M31" s="277"/>
      <c r="N31" s="278"/>
      <c r="O31" s="278"/>
    </row>
    <row r="32" spans="1:18">
      <c r="A32" s="82">
        <f t="shared" si="0"/>
        <v>25</v>
      </c>
      <c r="B32" s="70" t="s">
        <v>124</v>
      </c>
      <c r="C32" s="72"/>
      <c r="D32" s="134">
        <v>318</v>
      </c>
      <c r="E32" s="134">
        <v>274</v>
      </c>
      <c r="F32" s="296">
        <v>3</v>
      </c>
      <c r="G32" s="134">
        <v>68</v>
      </c>
      <c r="H32" s="59">
        <v>342</v>
      </c>
      <c r="I32" s="58">
        <v>0</v>
      </c>
      <c r="J32" s="134">
        <f t="shared" ref="J32:J41" si="3">SUM(D32:I32)</f>
        <v>1005</v>
      </c>
      <c r="K32" s="38"/>
      <c r="M32" s="277"/>
      <c r="N32" s="278"/>
      <c r="O32" s="278"/>
    </row>
    <row r="33" spans="1:15">
      <c r="A33" s="82">
        <f t="shared" si="0"/>
        <v>26</v>
      </c>
      <c r="B33" s="70" t="s">
        <v>125</v>
      </c>
      <c r="C33" s="72"/>
      <c r="D33" s="134">
        <v>297</v>
      </c>
      <c r="E33" s="134">
        <v>258</v>
      </c>
      <c r="F33" s="296">
        <v>3</v>
      </c>
      <c r="G33" s="134">
        <v>64</v>
      </c>
      <c r="H33" s="59">
        <v>342</v>
      </c>
      <c r="I33" s="58">
        <v>0</v>
      </c>
      <c r="J33" s="134">
        <f t="shared" si="3"/>
        <v>964</v>
      </c>
      <c r="K33" s="38"/>
      <c r="M33" s="277"/>
      <c r="N33" s="278"/>
      <c r="O33" s="278"/>
    </row>
    <row r="34" spans="1:15">
      <c r="A34" s="82">
        <f t="shared" si="0"/>
        <v>27</v>
      </c>
      <c r="B34" s="70" t="s">
        <v>129</v>
      </c>
      <c r="C34" s="72"/>
      <c r="D34" s="134">
        <v>269</v>
      </c>
      <c r="E34" s="134">
        <v>241</v>
      </c>
      <c r="F34" s="296">
        <v>3</v>
      </c>
      <c r="G34" s="134">
        <v>57</v>
      </c>
      <c r="H34" s="59">
        <v>342</v>
      </c>
      <c r="I34" s="58">
        <v>0</v>
      </c>
      <c r="J34" s="134">
        <f t="shared" si="3"/>
        <v>912</v>
      </c>
      <c r="K34" s="38"/>
      <c r="M34" s="277"/>
      <c r="N34" s="278"/>
      <c r="O34" s="278"/>
    </row>
    <row r="35" spans="1:15">
      <c r="A35" s="82">
        <f t="shared" si="0"/>
        <v>28</v>
      </c>
      <c r="B35" s="70" t="s">
        <v>130</v>
      </c>
      <c r="C35" s="72"/>
      <c r="D35" s="134">
        <v>278</v>
      </c>
      <c r="E35" s="134">
        <v>212</v>
      </c>
      <c r="F35" s="296">
        <v>3</v>
      </c>
      <c r="G35" s="134">
        <v>62</v>
      </c>
      <c r="H35" s="59">
        <v>342</v>
      </c>
      <c r="I35" s="58">
        <v>0</v>
      </c>
      <c r="J35" s="134">
        <f t="shared" si="3"/>
        <v>897</v>
      </c>
      <c r="K35" s="38"/>
      <c r="M35" s="277"/>
      <c r="N35" s="278"/>
      <c r="O35" s="278"/>
    </row>
    <row r="36" spans="1:15">
      <c r="A36" s="82">
        <f t="shared" si="0"/>
        <v>29</v>
      </c>
      <c r="B36" s="70" t="s">
        <v>131</v>
      </c>
      <c r="C36" s="72"/>
      <c r="D36" s="134">
        <v>342</v>
      </c>
      <c r="E36" s="134">
        <v>203</v>
      </c>
      <c r="F36" s="296">
        <v>3</v>
      </c>
      <c r="G36" s="134">
        <v>75</v>
      </c>
      <c r="H36" s="59">
        <v>342</v>
      </c>
      <c r="I36" s="58">
        <v>0</v>
      </c>
      <c r="J36" s="134">
        <f t="shared" si="3"/>
        <v>965</v>
      </c>
      <c r="K36" s="38"/>
      <c r="M36" s="277"/>
      <c r="N36" s="278"/>
      <c r="O36" s="278"/>
    </row>
    <row r="37" spans="1:15">
      <c r="A37" s="82">
        <f t="shared" si="0"/>
        <v>30</v>
      </c>
      <c r="B37" s="70" t="s">
        <v>126</v>
      </c>
      <c r="C37" s="72"/>
      <c r="D37" s="134">
        <v>377</v>
      </c>
      <c r="E37" s="134">
        <v>218</v>
      </c>
      <c r="F37" s="296">
        <v>3</v>
      </c>
      <c r="G37" s="134">
        <v>84</v>
      </c>
      <c r="H37" s="59">
        <v>342</v>
      </c>
      <c r="I37" s="58">
        <v>0</v>
      </c>
      <c r="J37" s="134">
        <f t="shared" si="3"/>
        <v>1024</v>
      </c>
      <c r="K37" s="38"/>
      <c r="M37" s="277"/>
      <c r="N37" s="278"/>
      <c r="O37" s="278"/>
    </row>
    <row r="38" spans="1:15">
      <c r="A38" s="82">
        <f t="shared" si="0"/>
        <v>31</v>
      </c>
      <c r="B38" s="70" t="s">
        <v>110</v>
      </c>
      <c r="C38" s="72"/>
      <c r="D38" s="134">
        <v>361</v>
      </c>
      <c r="E38" s="134">
        <v>221</v>
      </c>
      <c r="F38" s="296">
        <v>3</v>
      </c>
      <c r="G38" s="134">
        <v>80</v>
      </c>
      <c r="H38" s="59">
        <v>342</v>
      </c>
      <c r="I38" s="58">
        <v>0</v>
      </c>
      <c r="J38" s="134">
        <f t="shared" si="3"/>
        <v>1007</v>
      </c>
      <c r="K38" s="38"/>
      <c r="M38" s="277"/>
      <c r="N38" s="278"/>
      <c r="O38" s="278"/>
    </row>
    <row r="39" spans="1:15">
      <c r="A39" s="82">
        <f t="shared" si="0"/>
        <v>32</v>
      </c>
      <c r="B39" s="70" t="s">
        <v>127</v>
      </c>
      <c r="C39" s="72"/>
      <c r="D39" s="134">
        <v>323</v>
      </c>
      <c r="E39" s="134">
        <v>217</v>
      </c>
      <c r="F39" s="296">
        <v>3</v>
      </c>
      <c r="G39" s="134">
        <v>73</v>
      </c>
      <c r="H39" s="59">
        <v>342</v>
      </c>
      <c r="I39" s="58">
        <v>0</v>
      </c>
      <c r="J39" s="134">
        <f t="shared" si="3"/>
        <v>958</v>
      </c>
      <c r="K39" s="38"/>
      <c r="M39" s="277"/>
      <c r="N39" s="278"/>
      <c r="O39" s="278"/>
    </row>
    <row r="40" spans="1:15">
      <c r="A40" s="82">
        <f t="shared" si="0"/>
        <v>33</v>
      </c>
      <c r="B40" s="70" t="s">
        <v>111</v>
      </c>
      <c r="C40" s="72"/>
      <c r="D40" s="134">
        <v>276</v>
      </c>
      <c r="E40" s="134">
        <v>241</v>
      </c>
      <c r="F40" s="296">
        <v>3</v>
      </c>
      <c r="G40" s="134">
        <v>59</v>
      </c>
      <c r="H40" s="59">
        <v>342</v>
      </c>
      <c r="I40" s="58">
        <v>0</v>
      </c>
      <c r="J40" s="134">
        <f t="shared" si="3"/>
        <v>921</v>
      </c>
      <c r="K40" s="38"/>
      <c r="M40" s="277"/>
      <c r="N40" s="278"/>
      <c r="O40" s="278"/>
    </row>
    <row r="41" spans="1:15">
      <c r="A41" s="82">
        <f t="shared" si="0"/>
        <v>34</v>
      </c>
      <c r="B41" s="70" t="s">
        <v>112</v>
      </c>
      <c r="C41" s="72"/>
      <c r="D41" s="134">
        <v>302</v>
      </c>
      <c r="E41" s="134">
        <v>243</v>
      </c>
      <c r="F41" s="296">
        <v>3</v>
      </c>
      <c r="G41" s="134">
        <v>68</v>
      </c>
      <c r="H41" s="59">
        <v>342</v>
      </c>
      <c r="I41" s="58">
        <v>0</v>
      </c>
      <c r="J41" s="134">
        <f t="shared" si="3"/>
        <v>958</v>
      </c>
      <c r="K41" s="38"/>
      <c r="M41" s="277"/>
      <c r="N41" s="278"/>
      <c r="O41" s="278"/>
    </row>
    <row r="42" spans="1:15" ht="13.8" thickBot="1">
      <c r="A42" s="82">
        <f t="shared" si="0"/>
        <v>35</v>
      </c>
      <c r="B42" s="73" t="s">
        <v>128</v>
      </c>
      <c r="C42" s="74"/>
      <c r="D42" s="135">
        <v>324</v>
      </c>
      <c r="E42" s="135">
        <v>256</v>
      </c>
      <c r="F42" s="298">
        <v>3</v>
      </c>
      <c r="G42" s="135">
        <v>73</v>
      </c>
      <c r="H42" s="135">
        <v>342</v>
      </c>
      <c r="I42" s="61">
        <v>0</v>
      </c>
      <c r="J42" s="135">
        <f>SUM(D42:I42)</f>
        <v>998</v>
      </c>
      <c r="K42" s="38"/>
      <c r="M42" s="277"/>
      <c r="N42" s="278"/>
      <c r="O42" s="278"/>
    </row>
    <row r="43" spans="1:15" ht="13.8" thickBot="1">
      <c r="A43" s="82">
        <f t="shared" si="0"/>
        <v>36</v>
      </c>
      <c r="B43" s="39"/>
      <c r="C43" s="38"/>
      <c r="D43" s="164"/>
      <c r="E43" s="164"/>
      <c r="F43" s="164"/>
      <c r="G43" s="164"/>
      <c r="H43" s="164"/>
      <c r="I43" s="164"/>
      <c r="J43" s="164"/>
      <c r="K43" s="38"/>
      <c r="N43" s="278"/>
      <c r="O43" s="278"/>
    </row>
    <row r="44" spans="1:15" ht="13.8" thickBot="1">
      <c r="A44" s="82">
        <f t="shared" si="0"/>
        <v>37</v>
      </c>
      <c r="B44" s="43" t="s">
        <v>82</v>
      </c>
      <c r="C44" s="40"/>
      <c r="D44" s="165">
        <f t="shared" ref="D44:J44" si="4">SUM(D31:D42)/12</f>
        <v>316.41666666666669</v>
      </c>
      <c r="E44" s="121">
        <f t="shared" si="4"/>
        <v>237.75</v>
      </c>
      <c r="F44" s="166">
        <f t="shared" si="4"/>
        <v>3</v>
      </c>
      <c r="G44" s="121">
        <f t="shared" si="4"/>
        <v>69.5</v>
      </c>
      <c r="H44" s="167">
        <f t="shared" si="4"/>
        <v>342</v>
      </c>
      <c r="I44" s="168">
        <f t="shared" si="4"/>
        <v>0</v>
      </c>
      <c r="J44" s="64">
        <f t="shared" si="4"/>
        <v>968.66666666666663</v>
      </c>
      <c r="K44" s="128"/>
      <c r="M44" s="277"/>
      <c r="N44" s="278"/>
      <c r="O44" s="278"/>
    </row>
    <row r="45" spans="1:15">
      <c r="A45" s="82">
        <f t="shared" si="0"/>
        <v>38</v>
      </c>
      <c r="N45" s="278"/>
    </row>
    <row r="46" spans="1:15">
      <c r="A46" s="82">
        <f t="shared" si="0"/>
        <v>39</v>
      </c>
      <c r="B46" s="47" t="s">
        <v>396</v>
      </c>
      <c r="C46" s="45"/>
      <c r="D46" s="41"/>
      <c r="E46" s="41"/>
      <c r="F46" s="41"/>
      <c r="G46" s="95"/>
      <c r="H46" s="95"/>
      <c r="I46" s="42"/>
    </row>
    <row r="47" spans="1:15">
      <c r="A47" s="82">
        <f t="shared" si="0"/>
        <v>40</v>
      </c>
      <c r="B47" s="47" t="s">
        <v>315</v>
      </c>
      <c r="C47" s="45"/>
      <c r="G47" s="95"/>
    </row>
    <row r="48" spans="1:15">
      <c r="A48" s="82"/>
      <c r="B48" s="47"/>
      <c r="D48" s="44"/>
      <c r="E48" s="44"/>
    </row>
    <row r="49" spans="1:10">
      <c r="A49" s="82"/>
      <c r="B49" s="75"/>
      <c r="C49" s="76"/>
      <c r="D49" s="77"/>
      <c r="E49" s="77"/>
      <c r="F49" s="76"/>
      <c r="G49" s="76"/>
    </row>
    <row r="50" spans="1:10">
      <c r="A50" s="82"/>
      <c r="B50" s="44"/>
      <c r="C50" s="44"/>
      <c r="D50" s="44"/>
      <c r="E50" s="44"/>
    </row>
    <row r="51" spans="1:10">
      <c r="A51" s="82"/>
      <c r="B51" s="44"/>
      <c r="C51" s="44"/>
      <c r="D51" s="279"/>
      <c r="E51" s="279"/>
      <c r="F51" s="279"/>
      <c r="G51" s="279"/>
      <c r="H51" s="279"/>
      <c r="I51" s="279"/>
      <c r="J51" s="279"/>
    </row>
    <row r="52" spans="1:10">
      <c r="B52" s="44"/>
      <c r="C52" s="44"/>
      <c r="D52" s="279"/>
      <c r="E52" s="279"/>
      <c r="F52" s="279"/>
      <c r="G52" s="279"/>
      <c r="H52" s="279"/>
      <c r="I52" s="279"/>
      <c r="J52" s="279"/>
    </row>
    <row r="53" spans="1:10">
      <c r="B53" s="44"/>
      <c r="C53" s="44"/>
      <c r="D53" s="44"/>
      <c r="E53" s="44"/>
    </row>
    <row r="54" spans="1:10">
      <c r="B54" s="44"/>
      <c r="C54" s="44"/>
      <c r="D54" s="44"/>
      <c r="E54" s="44"/>
    </row>
    <row r="55" spans="1:10">
      <c r="B55" s="44"/>
      <c r="C55" s="44"/>
      <c r="D55" s="44"/>
      <c r="E55" s="44"/>
    </row>
    <row r="56" spans="1:10">
      <c r="B56" s="44"/>
      <c r="C56" s="44"/>
      <c r="D56" s="44"/>
      <c r="E56" s="44"/>
    </row>
    <row r="57" spans="1:10">
      <c r="B57" s="44"/>
      <c r="C57" s="44"/>
      <c r="D57" s="44"/>
      <c r="E57" s="44"/>
    </row>
    <row r="58" spans="1:10">
      <c r="B58" s="44"/>
      <c r="C58" s="44"/>
      <c r="D58" s="44"/>
      <c r="E58" s="44"/>
    </row>
    <row r="59" spans="1:10">
      <c r="B59" s="46"/>
      <c r="C59" s="46"/>
      <c r="D59" s="46"/>
      <c r="E59" s="46"/>
    </row>
  </sheetData>
  <mergeCells count="4">
    <mergeCell ref="D6:H6"/>
    <mergeCell ref="D26:H26"/>
    <mergeCell ref="A3:J3"/>
    <mergeCell ref="A4:J4"/>
  </mergeCells>
  <phoneticPr fontId="14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</vt:lpstr>
      <vt:lpstr>Estimate</vt:lpstr>
      <vt:lpstr>BHP WP2 Capital Additions</vt:lpstr>
      <vt:lpstr>BHP WP3 Capital Additions</vt:lpstr>
      <vt:lpstr>BHP WP5 Depreciation Rates</vt:lpstr>
      <vt:lpstr>WP6 Rate Base</vt:lpstr>
      <vt:lpstr>WP7 CU AC LOADS</vt:lpstr>
      <vt:lpstr>'BHP WP2 Capital Additions'!Print_Area</vt:lpstr>
      <vt:lpstr>'BHP WP3 Capital Additions'!Print_Area</vt:lpstr>
      <vt:lpstr>'CU AC Rate Design'!Print_Area</vt:lpstr>
      <vt:lpstr>Estimate!Print_Area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Adelman, DJ</cp:lastModifiedBy>
  <cp:lastPrinted>2021-09-02T22:21:59Z</cp:lastPrinted>
  <dcterms:created xsi:type="dcterms:W3CDTF">1997-04-03T19:40:56Z</dcterms:created>
  <dcterms:modified xsi:type="dcterms:W3CDTF">2022-09-15T18:23:07Z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